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5480" windowHeight="11640" tabRatio="932" activeTab="0"/>
  </bookViews>
  <sheets>
    <sheet name="Instructions" sheetId="1" r:id="rId1"/>
    <sheet name="1. Fl Area Summary" sheetId="2" r:id="rId2"/>
    <sheet name="1. Sources and Use" sheetId="3" r:id="rId3"/>
    <sheet name="1. Devel. Bud" sheetId="4" r:id="rId4"/>
    <sheet name="1. Cons Int &amp; Neg Arb" sheetId="5" r:id="rId5"/>
    <sheet name="1. Units &amp; Income" sheetId="6" r:id="rId6"/>
    <sheet name="1. M and O" sheetId="7" r:id="rId7"/>
    <sheet name="1. Mort" sheetId="8" r:id="rId8"/>
    <sheet name="1. Cash Flow" sheetId="9" r:id="rId9"/>
    <sheet name="1. Tax Credit " sheetId="10" r:id="rId10"/>
    <sheet name="1. Trade Pmt" sheetId="11" r:id="rId11"/>
    <sheet name="2. Fl Area Summary" sheetId="12" r:id="rId12"/>
    <sheet name="2. Sources and Use" sheetId="13" r:id="rId13"/>
    <sheet name="2. Devel. Bud" sheetId="14" r:id="rId14"/>
    <sheet name="2. Cons Int &amp; Neg Arb" sheetId="15" r:id="rId15"/>
    <sheet name="2. Units &amp; Income" sheetId="16" r:id="rId16"/>
    <sheet name="2. M and O" sheetId="17" r:id="rId17"/>
    <sheet name="2. Mort" sheetId="18" r:id="rId18"/>
    <sheet name="2. Cash Flow" sheetId="19" r:id="rId19"/>
    <sheet name="2. Tax Credit" sheetId="20" r:id="rId20"/>
    <sheet name="2. Trade PmT" sheetId="21" r:id="rId21"/>
    <sheet name="Summary Worksheet" sheetId="22" r:id="rId22"/>
    <sheet name="HO-Sources and Uses" sheetId="23" r:id="rId23"/>
    <sheet name="HO-Devel. Bud" sheetId="24" r:id="rId24"/>
    <sheet name="HO-Int Calc" sheetId="25" r:id="rId25"/>
    <sheet name="HO-Unit &amp; Income" sheetId="26" r:id="rId26"/>
    <sheet name="HO-M &amp; O" sheetId="27" r:id="rId27"/>
    <sheet name="HO-Mort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l" hidden="1">#REF!</definedName>
    <definedName name="_Fill_HO" hidden="1">#REF!</definedName>
    <definedName name="Average_Size_of_Units">'[3]Cred Memo'!$H$181:$N$182</definedName>
    <definedName name="Balloon_on_HDC_Second_Mortgage">'[3]Cred Memo'!$B$146:$F$152</definedName>
    <definedName name="BLDGRESERVE" localSheetId="4">'[1]M and O'!#REF!</definedName>
    <definedName name="BLDGRESERVE" localSheetId="14">'[1]M and O'!#REF!</definedName>
    <definedName name="BLDGRESERVE">'1. M and O'!#REF!</definedName>
    <definedName name="BLDGRESERVE_HO">#REF!</definedName>
    <definedName name="BLDGRESERVE2">'2. M and O'!#REF!</definedName>
    <definedName name="CONCOST" localSheetId="8">#REF!</definedName>
    <definedName name="CONCOST" localSheetId="18">#REF!</definedName>
    <definedName name="CONCOST">'1. Devel. Bud'!#REF!</definedName>
    <definedName name="CONCOST_HO">'HO-Devel. Bud'!#REF!</definedName>
    <definedName name="CONCOST2">'2. Devel. Bud'!#REF!</definedName>
    <definedName name="conint">'[5]Devel. Bud'!#REF!</definedName>
    <definedName name="CONINTEREST2">'2. Devel. Bud'!#REF!</definedName>
    <definedName name="CONSTINTEREST" localSheetId="8">#REF!</definedName>
    <definedName name="CONSTINTEREST" localSheetId="4">'[1]Devel. Bud (2)'!#REF!</definedName>
    <definedName name="CONSTINTEREST" localSheetId="18">#REF!</definedName>
    <definedName name="CONSTINTEREST" localSheetId="14">'[1]Devel. Bud (2)'!#REF!</definedName>
    <definedName name="CONSTINTEREST">'1. Devel. Bud'!#REF!</definedName>
    <definedName name="CONSTINTEREST_HO">'HO-Devel. Bud'!$N$52</definedName>
    <definedName name="Construction_Period__Sources_of_Funds">'[3]Cred Memo'!$B$108:$E$122</definedName>
    <definedName name="Development_Costs">'[3]Cred Memo'!$B$82:$F$103</definedName>
    <definedName name="Development_Team">'[3]Cred Memo'!$B$57:$G$61</definedName>
    <definedName name="DEVFEE" localSheetId="8">#REF!</definedName>
    <definedName name="DEVFEE" localSheetId="18">#REF!</definedName>
    <definedName name="DEVFEE">'HO-Devel. Bud'!#REF!</definedName>
    <definedName name="EQUITY" localSheetId="8">#REF!</definedName>
    <definedName name="EQUITY" localSheetId="18">#REF!</definedName>
    <definedName name="EQUITY">'HO-Devel. Bud'!#REF!</definedName>
    <definedName name="ERI" localSheetId="8">'[4]Mort'!$D$13</definedName>
    <definedName name="ERI" localSheetId="18">'[4]Mort'!$D$13</definedName>
    <definedName name="ERI">'1. Mort'!#REF!</definedName>
    <definedName name="ERI_HO">'HO-Mort'!$D$11</definedName>
    <definedName name="ERI2">'2. Mort'!#REF!</definedName>
    <definedName name="Expenses">'1. M and O'!$C$29</definedName>
    <definedName name="Expenses2">'2. M and O'!$C$29</definedName>
    <definedName name="Financing_Information">'[3]Cred Memo'!$B$66:$G$75</definedName>
    <definedName name="FIRST">'1. Mort'!$H$29</definedName>
    <definedName name="FIRST2">'2. Mort'!$H$29</definedName>
    <definedName name="GPR_HO">'HO-Unit &amp; Income'!#REF!</definedName>
    <definedName name="GRR" localSheetId="8">'[4]Unit Distrib.'!#REF!</definedName>
    <definedName name="GRR" localSheetId="18">'[4]Unit Distrib.'!#REF!</definedName>
    <definedName name="GRR">'1. Units &amp; Income'!#REF!</definedName>
    <definedName name="GRR2">'2. Units &amp; Income'!#REF!</definedName>
    <definedName name="HDCDSC" localSheetId="8">'[6]Income'!$D$24</definedName>
    <definedName name="HDCDSC" localSheetId="18">'[6]Income'!$D$24</definedName>
    <definedName name="HDCDSC">'[2]Income'!$D$24</definedName>
    <definedName name="HDCEXPENSES">#REF!</definedName>
    <definedName name="I_A">#REF!</definedName>
    <definedName name="I_A_HO">#REF!</definedName>
    <definedName name="LAUNDRY">'1. Units &amp; Income'!$D$39</definedName>
    <definedName name="LAUNDRY_HO">'HO-Unit &amp; Income'!$D$39</definedName>
    <definedName name="LAUNDRY2">'2. Units &amp; Income'!$D$39</definedName>
    <definedName name="Location_Information">'[3]Cred Memo'!$B$49:$G$53</definedName>
    <definedName name="NOI">'1. Mort'!$D$31</definedName>
    <definedName name="NOI_HO">'HO-Mort'!$D$30</definedName>
    <definedName name="NOI2">'2. Mort'!$D$31</definedName>
    <definedName name="Operating_Budget">'[3]Cred Memo'!$B$225:$G$243</definedName>
    <definedName name="Permanent_Sources_of_Funds">'[3]Cred Memo'!$B$130:$G$144</definedName>
    <definedName name="_xlnm.Print_Area" localSheetId="4">'1. Cons Int &amp; Neg Arb'!$A$1:$F$79</definedName>
    <definedName name="_xlnm.Print_Area" localSheetId="3">'1. Devel. Bud'!$A$1:$F$102</definedName>
    <definedName name="_xlnm.Print_Area" localSheetId="6">'1. M and O'!$A$1:$E$37</definedName>
    <definedName name="_xlnm.Print_Area" localSheetId="7">'1. Mort'!$A$1:$L$43</definedName>
    <definedName name="_xlnm.Print_Area" localSheetId="2">'1. Sources and Use'!$A$1:$D$34</definedName>
    <definedName name="_xlnm.Print_Area" localSheetId="9">'1. Tax Credit '!$A$1:$H$81</definedName>
    <definedName name="_xlnm.Print_Area" localSheetId="5">'1. Units &amp; Income'!$A$1:$I$104</definedName>
    <definedName name="_xlnm.Print_Area" localSheetId="14">'2. Cons Int &amp; Neg Arb'!$A$1:$F$79</definedName>
    <definedName name="_xlnm.Print_Area" localSheetId="13">'2. Devel. Bud'!$A$1:$F$102</definedName>
    <definedName name="_xlnm.Print_Area" localSheetId="16">'2. M and O'!$A$1:$E$37</definedName>
    <definedName name="_xlnm.Print_Area" localSheetId="17">'2. Mort'!$A$1:$L$43</definedName>
    <definedName name="_xlnm.Print_Area" localSheetId="12">'2. Sources and Use'!$A$1:$D$34</definedName>
    <definedName name="_xlnm.Print_Area" localSheetId="19">'2. Tax Credit'!$A$1:$H$81</definedName>
    <definedName name="_xlnm.Print_Area" localSheetId="15">'2. Units &amp; Income'!$A$1:$I$104</definedName>
    <definedName name="_xlnm.Print_Area" localSheetId="23">'HO-Devel. Bud'!$A$1:$F$92</definedName>
    <definedName name="_xlnm.Print_Area" localSheetId="24">'HO-Int Calc'!$A$1:$D$22</definedName>
    <definedName name="_xlnm.Print_Area" localSheetId="27">'HO-Mort'!$A$1:$L$50</definedName>
    <definedName name="_xlnm.Print_Area" localSheetId="25">'HO-Unit &amp; Income'!$A$1:$K$95</definedName>
    <definedName name="_xlnm.Print_Area" localSheetId="21">'Summary Worksheet'!$A$1:$I$156</definedName>
    <definedName name="Project_Summary">'[3]Cred Memo'!$B$2:$G$10</definedName>
    <definedName name="RENT1">#REF!</definedName>
    <definedName name="RENT1_HO">#REF!</definedName>
    <definedName name="Res_DUs">'[7]Data'!$M$75</definedName>
    <definedName name="Residential_Data">'[3]Cred Memo'!$H$188:$L$206</definedName>
    <definedName name="ROOMS">'1. Units &amp; Income'!$D$24</definedName>
    <definedName name="ROOMS_HO">'HO-Unit &amp; Income'!$C$15</definedName>
    <definedName name="ROOMS2">'2. Units &amp; Income'!$D$24</definedName>
    <definedName name="SECOND">'1. Mort'!$I$29</definedName>
    <definedName name="Second_Mortgage">'1. Mort'!$I$22</definedName>
    <definedName name="Second_Mortgage2">'2. Mort'!$I$22</definedName>
    <definedName name="SECOND2">'2. Mort'!$I$29</definedName>
    <definedName name="solver_adj" localSheetId="27" hidden="1">'HO-Mort'!$I$30</definedName>
    <definedName name="solver_cvg" localSheetId="27" hidden="1">0.0001</definedName>
    <definedName name="solver_drv" localSheetId="27" hidden="1">1</definedName>
    <definedName name="solver_est" localSheetId="27" hidden="1">1</definedName>
    <definedName name="solver_itr" localSheetId="27" hidden="1">100</definedName>
    <definedName name="solver_lhs1" localSheetId="27" hidden="1">'HO-Mort'!#REF!</definedName>
    <definedName name="solver_lin" localSheetId="27" hidden="1">2</definedName>
    <definedName name="solver_neg" localSheetId="27" hidden="1">2</definedName>
    <definedName name="solver_num" localSheetId="27" hidden="1">1</definedName>
    <definedName name="solver_nwt" localSheetId="27" hidden="1">1</definedName>
    <definedName name="solver_opt" localSheetId="27" hidden="1">'HO-Mort'!$L$37</definedName>
    <definedName name="solver_pre" localSheetId="27" hidden="1">0.000001</definedName>
    <definedName name="solver_rel1" localSheetId="27" hidden="1">1</definedName>
    <definedName name="solver_rhs1" localSheetId="27" hidden="1">49.99%</definedName>
    <definedName name="solver_scl" localSheetId="27" hidden="1">2</definedName>
    <definedName name="solver_sho" localSheetId="27" hidden="1">2</definedName>
    <definedName name="solver_tim" localSheetId="27" hidden="1">100</definedName>
    <definedName name="solver_tol" localSheetId="27" hidden="1">0.05</definedName>
    <definedName name="solver_typ" localSheetId="27" hidden="1">3</definedName>
    <definedName name="solver_val" localSheetId="27" hidden="1">1.05</definedName>
    <definedName name="Square_Footage">'[3]Cred Memo'!$B$15:$D$26</definedName>
    <definedName name="TCAW">#REF!</definedName>
    <definedName name="TOTALLOAN">'1. Mort'!$L$29</definedName>
    <definedName name="TOTALLOAN_HO">'HO-Mort'!$L$30</definedName>
    <definedName name="TOTALLOAN2">'2. Mort'!$L$29</definedName>
    <definedName name="Unit_Breakdown_by_Rent_Level">'[3]Cred Memo'!$B$30:$D$46</definedName>
    <definedName name="Unit_Distribution_by_Monthly_Rent">'[3]Cred Memo'!$H$169:$O$176</definedName>
    <definedName name="Unit_Distribution_by_Rent_Level">'[3]Cred Memo'!$H$156:$N$163</definedName>
    <definedName name="UNITS">'1. Units &amp; Income'!$B$22</definedName>
    <definedName name="UNITS_HO">'HO-Unit &amp; Income'!$B$15</definedName>
    <definedName name="UNITS2">'2. Units &amp; Income'!$B$22</definedName>
    <definedName name="Z_1ECE83C7_A3CE_4F97_BFD3_498FF783C0D9_.wvu.Cols" localSheetId="6" hidden="1">'1. M and O'!#REF!</definedName>
    <definedName name="Z_1ECE83C7_A3CE_4F97_BFD3_498FF783C0D9_.wvu.Cols" localSheetId="16" hidden="1">'2. M and O'!#REF!</definedName>
    <definedName name="Z_1ECE83C7_A3CE_4F97_BFD3_498FF783C0D9_.wvu.PrintArea" localSheetId="4" hidden="1">'1. Cons Int &amp; Neg Arb'!$A$1:$F$70</definedName>
    <definedName name="Z_1ECE83C7_A3CE_4F97_BFD3_498FF783C0D9_.wvu.PrintArea" localSheetId="3" hidden="1">'1. Devel. Bud'!$A$1:$H$107</definedName>
    <definedName name="Z_1ECE83C7_A3CE_4F97_BFD3_498FF783C0D9_.wvu.PrintArea" localSheetId="6" hidden="1">'1. M and O'!$A$1:$E$40</definedName>
    <definedName name="Z_1ECE83C7_A3CE_4F97_BFD3_498FF783C0D9_.wvu.PrintArea" localSheetId="7" hidden="1">'1. Mort'!$A$1:$L$43</definedName>
    <definedName name="Z_1ECE83C7_A3CE_4F97_BFD3_498FF783C0D9_.wvu.PrintArea" localSheetId="2" hidden="1">'1. Sources and Use'!$A$1:$D$37</definedName>
    <definedName name="Z_1ECE83C7_A3CE_4F97_BFD3_498FF783C0D9_.wvu.PrintArea" localSheetId="5" hidden="1">'1. Units &amp; Income'!$A$1:$E$44</definedName>
    <definedName name="Z_1ECE83C7_A3CE_4F97_BFD3_498FF783C0D9_.wvu.PrintArea" localSheetId="14" hidden="1">'2. Cons Int &amp; Neg Arb'!$A$1:$F$70</definedName>
    <definedName name="Z_1ECE83C7_A3CE_4F97_BFD3_498FF783C0D9_.wvu.PrintArea" localSheetId="13" hidden="1">'2. Devel. Bud'!$A$1:$H$107</definedName>
    <definedName name="Z_1ECE83C7_A3CE_4F97_BFD3_498FF783C0D9_.wvu.PrintArea" localSheetId="16" hidden="1">'2. M and O'!$A$1:$E$40</definedName>
    <definedName name="Z_1ECE83C7_A3CE_4F97_BFD3_498FF783C0D9_.wvu.PrintArea" localSheetId="17" hidden="1">'2. Mort'!$A$1:$L$43</definedName>
    <definedName name="Z_1ECE83C7_A3CE_4F97_BFD3_498FF783C0D9_.wvu.PrintArea" localSheetId="12" hidden="1">'2. Sources and Use'!$A$1:$D$37</definedName>
    <definedName name="Z_1ECE83C7_A3CE_4F97_BFD3_498FF783C0D9_.wvu.PrintArea" localSheetId="15" hidden="1">'2. Units &amp; Income'!$A$1:$E$44</definedName>
    <definedName name="Z_25C4E7E7_1006_4A2D_BC83_AEE4ADF8A914_.wvu.Cols" localSheetId="6" hidden="1">'1. M and O'!#REF!</definedName>
    <definedName name="Z_25C4E7E7_1006_4A2D_BC83_AEE4ADF8A914_.wvu.Cols" localSheetId="16" hidden="1">'2. M and O'!#REF!</definedName>
    <definedName name="Z_25C4E7E7_1006_4A2D_BC83_AEE4ADF8A914_.wvu.PrintArea" localSheetId="4" hidden="1">'1. Cons Int &amp; Neg Arb'!$A$1:$F$70</definedName>
    <definedName name="Z_25C4E7E7_1006_4A2D_BC83_AEE4ADF8A914_.wvu.PrintArea" localSheetId="3" hidden="1">'1. Devel. Bud'!$A$1:$H$107</definedName>
    <definedName name="Z_25C4E7E7_1006_4A2D_BC83_AEE4ADF8A914_.wvu.PrintArea" localSheetId="6" hidden="1">'1. M and O'!$A$1:$E$40</definedName>
    <definedName name="Z_25C4E7E7_1006_4A2D_BC83_AEE4ADF8A914_.wvu.PrintArea" localSheetId="7" hidden="1">'1. Mort'!$A$1:$L$43</definedName>
    <definedName name="Z_25C4E7E7_1006_4A2D_BC83_AEE4ADF8A914_.wvu.PrintArea" localSheetId="2" hidden="1">'1. Sources and Use'!$A$1:$D$37</definedName>
    <definedName name="Z_25C4E7E7_1006_4A2D_BC83_AEE4ADF8A914_.wvu.PrintArea" localSheetId="5" hidden="1">'1. Units &amp; Income'!$A$1:$E$44</definedName>
    <definedName name="Z_25C4E7E7_1006_4A2D_BC83_AEE4ADF8A914_.wvu.PrintArea" localSheetId="14" hidden="1">'2. Cons Int &amp; Neg Arb'!$A$1:$F$70</definedName>
    <definedName name="Z_25C4E7E7_1006_4A2D_BC83_AEE4ADF8A914_.wvu.PrintArea" localSheetId="13" hidden="1">'2. Devel. Bud'!$A$1:$H$107</definedName>
    <definedName name="Z_25C4E7E7_1006_4A2D_BC83_AEE4ADF8A914_.wvu.PrintArea" localSheetId="16" hidden="1">'2. M and O'!$A$1:$E$40</definedName>
    <definedName name="Z_25C4E7E7_1006_4A2D_BC83_AEE4ADF8A914_.wvu.PrintArea" localSheetId="17" hidden="1">'2. Mort'!$A$1:$L$43</definedName>
    <definedName name="Z_25C4E7E7_1006_4A2D_BC83_AEE4ADF8A914_.wvu.PrintArea" localSheetId="12" hidden="1">'2. Sources and Use'!$A$1:$D$37</definedName>
    <definedName name="Z_25C4E7E7_1006_4A2D_BC83_AEE4ADF8A914_.wvu.PrintArea" localSheetId="15" hidden="1">'2. Units &amp; Income'!$A$1:$E$44</definedName>
    <definedName name="Z_25C4E7E7_1006_4A2D_BC83_AEE4ADF8A914_.wvu.Rows" localSheetId="4" hidden="1">'1. Cons Int &amp; Neg Arb'!$26:$29,'1. Cons Int &amp; Neg Arb'!$45:$51</definedName>
    <definedName name="Z_25C4E7E7_1006_4A2D_BC83_AEE4ADF8A914_.wvu.Rows" localSheetId="3" hidden="1">'1. Devel. Bud'!#REF!</definedName>
    <definedName name="Z_25C4E7E7_1006_4A2D_BC83_AEE4ADF8A914_.wvu.Rows" localSheetId="6" hidden="1">'1. M and O'!$27:$27</definedName>
    <definedName name="Z_25C4E7E7_1006_4A2D_BC83_AEE4ADF8A914_.wvu.Rows" localSheetId="2" hidden="1">'1. Sources and Use'!#REF!</definedName>
    <definedName name="Z_25C4E7E7_1006_4A2D_BC83_AEE4ADF8A914_.wvu.Rows" localSheetId="14" hidden="1">'2. Cons Int &amp; Neg Arb'!$26:$29,'2. Cons Int &amp; Neg Arb'!$45:$51</definedName>
    <definedName name="Z_25C4E7E7_1006_4A2D_BC83_AEE4ADF8A914_.wvu.Rows" localSheetId="13" hidden="1">'2. Devel. Bud'!#REF!</definedName>
    <definedName name="Z_25C4E7E7_1006_4A2D_BC83_AEE4ADF8A914_.wvu.Rows" localSheetId="16" hidden="1">'2. M and O'!$27:$27</definedName>
    <definedName name="Z_25C4E7E7_1006_4A2D_BC83_AEE4ADF8A914_.wvu.Rows" localSheetId="12" hidden="1">'2. Sources and Use'!#REF!</definedName>
    <definedName name="Z_28F81D13_D146_4D67_8981_BA5D7A496326_.wvu.Cols" localSheetId="6" hidden="1">'1. M and O'!#REF!</definedName>
    <definedName name="Z_28F81D13_D146_4D67_8981_BA5D7A496326_.wvu.Cols" localSheetId="16" hidden="1">'2. M and O'!#REF!</definedName>
    <definedName name="Z_28F81D13_D146_4D67_8981_BA5D7A496326_.wvu.PrintArea" localSheetId="4" hidden="1">'1. Cons Int &amp; Neg Arb'!$A$1:$I$67</definedName>
    <definedName name="Z_28F81D13_D146_4D67_8981_BA5D7A496326_.wvu.PrintArea" localSheetId="3" hidden="1">'1. Devel. Bud'!$A$1:$F$106</definedName>
    <definedName name="Z_28F81D13_D146_4D67_8981_BA5D7A496326_.wvu.PrintArea" localSheetId="6" hidden="1">'1. M and O'!$A$1:$E$39</definedName>
    <definedName name="Z_28F81D13_D146_4D67_8981_BA5D7A496326_.wvu.PrintArea" localSheetId="7" hidden="1">'1. Mort'!$A$1:$L$50</definedName>
    <definedName name="Z_28F81D13_D146_4D67_8981_BA5D7A496326_.wvu.PrintArea" localSheetId="2" hidden="1">'1. Sources and Use'!$A$1:$C$37</definedName>
    <definedName name="Z_28F81D13_D146_4D67_8981_BA5D7A496326_.wvu.PrintArea" localSheetId="5" hidden="1">'1. Units &amp; Income'!$A$1:$E$44</definedName>
    <definedName name="Z_28F81D13_D146_4D67_8981_BA5D7A496326_.wvu.PrintArea" localSheetId="14" hidden="1">'2. Cons Int &amp; Neg Arb'!$A$1:$I$67</definedName>
    <definedName name="Z_28F81D13_D146_4D67_8981_BA5D7A496326_.wvu.PrintArea" localSheetId="13" hidden="1">'2. Devel. Bud'!$A$1:$F$106</definedName>
    <definedName name="Z_28F81D13_D146_4D67_8981_BA5D7A496326_.wvu.PrintArea" localSheetId="16" hidden="1">'2. M and O'!$A$1:$E$39</definedName>
    <definedName name="Z_28F81D13_D146_4D67_8981_BA5D7A496326_.wvu.PrintArea" localSheetId="17" hidden="1">'2. Mort'!$A$1:$L$50</definedName>
    <definedName name="Z_28F81D13_D146_4D67_8981_BA5D7A496326_.wvu.PrintArea" localSheetId="12" hidden="1">'2. Sources and Use'!$A$1:$C$37</definedName>
    <definedName name="Z_28F81D13_D146_4D67_8981_BA5D7A496326_.wvu.PrintArea" localSheetId="15" hidden="1">'2. Units &amp; Income'!$A$1:$E$44</definedName>
    <definedName name="Z_28F81D13_D146_4D67_8981_BA5D7A496326_.wvu.Rows" localSheetId="4" hidden="1">'1. Cons Int &amp; Neg Arb'!$54:$54</definedName>
    <definedName name="Z_28F81D13_D146_4D67_8981_BA5D7A496326_.wvu.Rows" localSheetId="14" hidden="1">'2. Cons Int &amp; Neg Arb'!$54:$54</definedName>
    <definedName name="Z_560D4AFA_61E5_46C3_B0CD_D0EB3053A033_.wvu.Cols" localSheetId="6" hidden="1">'1. M and O'!#REF!</definedName>
    <definedName name="Z_560D4AFA_61E5_46C3_B0CD_D0EB3053A033_.wvu.Cols" localSheetId="16" hidden="1">'2. M and O'!#REF!</definedName>
    <definedName name="Z_560D4AFA_61E5_46C3_B0CD_D0EB3053A033_.wvu.PrintArea" localSheetId="4" hidden="1">'1. Cons Int &amp; Neg Arb'!$A$1:$F$70</definedName>
    <definedName name="Z_560D4AFA_61E5_46C3_B0CD_D0EB3053A033_.wvu.PrintArea" localSheetId="3" hidden="1">'1. Devel. Bud'!$A$1:$H$107</definedName>
    <definedName name="Z_560D4AFA_61E5_46C3_B0CD_D0EB3053A033_.wvu.PrintArea" localSheetId="6" hidden="1">'1. M and O'!$A$1:$E$40</definedName>
    <definedName name="Z_560D4AFA_61E5_46C3_B0CD_D0EB3053A033_.wvu.PrintArea" localSheetId="7" hidden="1">'1. Mort'!$A$1:$L$43</definedName>
    <definedName name="Z_560D4AFA_61E5_46C3_B0CD_D0EB3053A033_.wvu.PrintArea" localSheetId="2" hidden="1">'1. Sources and Use'!$A$1:$D$37</definedName>
    <definedName name="Z_560D4AFA_61E5_46C3_B0CD_D0EB3053A033_.wvu.PrintArea" localSheetId="5" hidden="1">'1. Units &amp; Income'!$A$1:$E$44</definedName>
    <definedName name="Z_560D4AFA_61E5_46C3_B0CD_D0EB3053A033_.wvu.PrintArea" localSheetId="14" hidden="1">'2. Cons Int &amp; Neg Arb'!$A$1:$F$70</definedName>
    <definedName name="Z_560D4AFA_61E5_46C3_B0CD_D0EB3053A033_.wvu.PrintArea" localSheetId="13" hidden="1">'2. Devel. Bud'!$A$1:$H$107</definedName>
    <definedName name="Z_560D4AFA_61E5_46C3_B0CD_D0EB3053A033_.wvu.PrintArea" localSheetId="16" hidden="1">'2. M and O'!$A$1:$E$40</definedName>
    <definedName name="Z_560D4AFA_61E5_46C3_B0CD_D0EB3053A033_.wvu.PrintArea" localSheetId="17" hidden="1">'2. Mort'!$A$1:$L$43</definedName>
    <definedName name="Z_560D4AFA_61E5_46C3_B0CD_D0EB3053A033_.wvu.PrintArea" localSheetId="12" hidden="1">'2. Sources and Use'!$A$1:$D$37</definedName>
    <definedName name="Z_560D4AFA_61E5_46C3_B0CD_D0EB3053A033_.wvu.PrintArea" localSheetId="15" hidden="1">'2. Units &amp; Income'!$A$1:$E$44</definedName>
    <definedName name="Z_560D4AFA_61E5_46C3_B0CD_D0EB3053A033_.wvu.Rows" localSheetId="4" hidden="1">'1. Cons Int &amp; Neg Arb'!$26:$29,'1. Cons Int &amp; Neg Arb'!$45:$51</definedName>
    <definedName name="Z_560D4AFA_61E5_46C3_B0CD_D0EB3053A033_.wvu.Rows" localSheetId="3" hidden="1">'1. Devel. Bud'!#REF!</definedName>
    <definedName name="Z_560D4AFA_61E5_46C3_B0CD_D0EB3053A033_.wvu.Rows" localSheetId="6" hidden="1">'1. M and O'!$27:$27</definedName>
    <definedName name="Z_560D4AFA_61E5_46C3_B0CD_D0EB3053A033_.wvu.Rows" localSheetId="2" hidden="1">'1. Sources and Use'!#REF!</definedName>
    <definedName name="Z_560D4AFA_61E5_46C3_B0CD_D0EB3053A033_.wvu.Rows" localSheetId="14" hidden="1">'2. Cons Int &amp; Neg Arb'!$26:$29,'2. Cons Int &amp; Neg Arb'!$45:$51</definedName>
    <definedName name="Z_560D4AFA_61E5_46C3_B0CD_D0EB3053A033_.wvu.Rows" localSheetId="13" hidden="1">'2. Devel. Bud'!#REF!</definedName>
    <definedName name="Z_560D4AFA_61E5_46C3_B0CD_D0EB3053A033_.wvu.Rows" localSheetId="16" hidden="1">'2. M and O'!$27:$27</definedName>
    <definedName name="Z_560D4AFA_61E5_46C3_B0CD_D0EB3053A033_.wvu.Rows" localSheetId="12" hidden="1">'2. Sources and Use'!#REF!</definedName>
    <definedName name="Z_6EF643BE_69F3_424E_8A44_3890161370D4_.wvu.Cols" localSheetId="6" hidden="1">'1. M and O'!#REF!</definedName>
    <definedName name="Z_6EF643BE_69F3_424E_8A44_3890161370D4_.wvu.Cols" localSheetId="16" hidden="1">'2. M and O'!#REF!</definedName>
    <definedName name="Z_6EF643BE_69F3_424E_8A44_3890161370D4_.wvu.PrintArea" localSheetId="4" hidden="1">'1. Cons Int &amp; Neg Arb'!$A$1:$I$67</definedName>
    <definedName name="Z_6EF643BE_69F3_424E_8A44_3890161370D4_.wvu.PrintArea" localSheetId="3" hidden="1">'1. Devel. Bud'!$A$1:$F$93</definedName>
    <definedName name="Z_6EF643BE_69F3_424E_8A44_3890161370D4_.wvu.PrintArea" localSheetId="6" hidden="1">'1. M and O'!$A$1:$E$39</definedName>
    <definedName name="Z_6EF643BE_69F3_424E_8A44_3890161370D4_.wvu.PrintArea" localSheetId="7" hidden="1">'1. Mort'!$A$1:$L$50</definedName>
    <definedName name="Z_6EF643BE_69F3_424E_8A44_3890161370D4_.wvu.PrintArea" localSheetId="2" hidden="1">'1. Sources and Use'!$A$1:$C$37</definedName>
    <definedName name="Z_6EF643BE_69F3_424E_8A44_3890161370D4_.wvu.PrintArea" localSheetId="5" hidden="1">'1. Units &amp; Income'!$A$1:$E$44</definedName>
    <definedName name="Z_6EF643BE_69F3_424E_8A44_3890161370D4_.wvu.PrintArea" localSheetId="14" hidden="1">'2. Cons Int &amp; Neg Arb'!$A$1:$I$67</definedName>
    <definedName name="Z_6EF643BE_69F3_424E_8A44_3890161370D4_.wvu.PrintArea" localSheetId="13" hidden="1">'2. Devel. Bud'!$A$1:$F$93</definedName>
    <definedName name="Z_6EF643BE_69F3_424E_8A44_3890161370D4_.wvu.PrintArea" localSheetId="16" hidden="1">'2. M and O'!$A$1:$E$39</definedName>
    <definedName name="Z_6EF643BE_69F3_424E_8A44_3890161370D4_.wvu.PrintArea" localSheetId="17" hidden="1">'2. Mort'!$A$1:$L$50</definedName>
    <definedName name="Z_6EF643BE_69F3_424E_8A44_3890161370D4_.wvu.PrintArea" localSheetId="12" hidden="1">'2. Sources and Use'!$A$1:$C$37</definedName>
    <definedName name="Z_6EF643BE_69F3_424E_8A44_3890161370D4_.wvu.PrintArea" localSheetId="15" hidden="1">'2. Units &amp; Income'!$A$1:$E$44</definedName>
    <definedName name="Z_6EF643BE_69F3_424E_8A44_3890161370D4_.wvu.Rows" localSheetId="4" hidden="1">'1. Cons Int &amp; Neg Arb'!$54:$54</definedName>
    <definedName name="Z_6EF643BE_69F3_424E_8A44_3890161370D4_.wvu.Rows" localSheetId="14" hidden="1">'2. Cons Int &amp; Neg Arb'!$54:$54</definedName>
    <definedName name="Z_AEA5979F_5357_4ED6_A6CA_1BB80F5C7A74_.wvu.Cols" localSheetId="6" hidden="1">'1. M and O'!#REF!</definedName>
    <definedName name="Z_AEA5979F_5357_4ED6_A6CA_1BB80F5C7A74_.wvu.Cols" localSheetId="16" hidden="1">'2. M and O'!#REF!</definedName>
    <definedName name="Z_AEA5979F_5357_4ED6_A6CA_1BB80F5C7A74_.wvu.PrintArea" localSheetId="4" hidden="1">'1. Cons Int &amp; Neg Arb'!$A$1:$I$67</definedName>
    <definedName name="Z_AEA5979F_5357_4ED6_A6CA_1BB80F5C7A74_.wvu.PrintArea" localSheetId="3" hidden="1">'1. Devel. Bud'!$A$1:$F$93</definedName>
    <definedName name="Z_AEA5979F_5357_4ED6_A6CA_1BB80F5C7A74_.wvu.PrintArea" localSheetId="6" hidden="1">'1. M and O'!$A$1:$E$39</definedName>
    <definedName name="Z_AEA5979F_5357_4ED6_A6CA_1BB80F5C7A74_.wvu.PrintArea" localSheetId="7" hidden="1">'1. Mort'!$A$1:$L$50</definedName>
    <definedName name="Z_AEA5979F_5357_4ED6_A6CA_1BB80F5C7A74_.wvu.PrintArea" localSheetId="2" hidden="1">'1. Sources and Use'!$A$1:$C$37</definedName>
    <definedName name="Z_AEA5979F_5357_4ED6_A6CA_1BB80F5C7A74_.wvu.PrintArea" localSheetId="5" hidden="1">'1. Units &amp; Income'!$A$1:$E$44</definedName>
    <definedName name="Z_AEA5979F_5357_4ED6_A6CA_1BB80F5C7A74_.wvu.PrintArea" localSheetId="14" hidden="1">'2. Cons Int &amp; Neg Arb'!$A$1:$I$67</definedName>
    <definedName name="Z_AEA5979F_5357_4ED6_A6CA_1BB80F5C7A74_.wvu.PrintArea" localSheetId="13" hidden="1">'2. Devel. Bud'!$A$1:$F$93</definedName>
    <definedName name="Z_AEA5979F_5357_4ED6_A6CA_1BB80F5C7A74_.wvu.PrintArea" localSheetId="16" hidden="1">'2. M and O'!$A$1:$E$39</definedName>
    <definedName name="Z_AEA5979F_5357_4ED6_A6CA_1BB80F5C7A74_.wvu.PrintArea" localSheetId="17" hidden="1">'2. Mort'!$A$1:$L$50</definedName>
    <definedName name="Z_AEA5979F_5357_4ED6_A6CA_1BB80F5C7A74_.wvu.PrintArea" localSheetId="12" hidden="1">'2. Sources and Use'!$A$1:$C$37</definedName>
    <definedName name="Z_AEA5979F_5357_4ED6_A6CA_1BB80F5C7A74_.wvu.PrintArea" localSheetId="15" hidden="1">'2. Units &amp; Income'!$A$1:$E$44</definedName>
    <definedName name="Z_AEA5979F_5357_4ED6_A6CA_1BB80F5C7A74_.wvu.Rows" localSheetId="4" hidden="1">'1. Cons Int &amp; Neg Arb'!$54:$54</definedName>
    <definedName name="Z_AEA5979F_5357_4ED6_A6CA_1BB80F5C7A74_.wvu.Rows" localSheetId="14" hidden="1">'2. Cons Int &amp; Neg Arb'!$54:$54</definedName>
    <definedName name="Z_EB776EFC_3589_4DB5_BEAF_1E83D9703F9E_.wvu.Cols" localSheetId="4" hidden="1">'1. Cons Int &amp; Neg Arb'!#REF!</definedName>
    <definedName name="Z_EB776EFC_3589_4DB5_BEAF_1E83D9703F9E_.wvu.Cols" localSheetId="3" hidden="1">'1. Devel. Bud'!#REF!</definedName>
    <definedName name="Z_EB776EFC_3589_4DB5_BEAF_1E83D9703F9E_.wvu.Cols" localSheetId="6" hidden="1">'1. M and O'!#REF!</definedName>
    <definedName name="Z_EB776EFC_3589_4DB5_BEAF_1E83D9703F9E_.wvu.Cols" localSheetId="14" hidden="1">'2. Cons Int &amp; Neg Arb'!#REF!</definedName>
    <definedName name="Z_EB776EFC_3589_4DB5_BEAF_1E83D9703F9E_.wvu.Cols" localSheetId="13" hidden="1">'2. Devel. Bud'!#REF!</definedName>
    <definedName name="Z_EB776EFC_3589_4DB5_BEAF_1E83D9703F9E_.wvu.Cols" localSheetId="16" hidden="1">'2. M and O'!#REF!</definedName>
    <definedName name="Z_EB776EFC_3589_4DB5_BEAF_1E83D9703F9E_.wvu.PrintArea" localSheetId="3" hidden="1">'1. Devel. Bud'!$A$1:$F$93</definedName>
    <definedName name="Z_EB776EFC_3589_4DB5_BEAF_1E83D9703F9E_.wvu.PrintArea" localSheetId="6" hidden="1">'1. M and O'!$A$1:$E$39</definedName>
    <definedName name="Z_EB776EFC_3589_4DB5_BEAF_1E83D9703F9E_.wvu.PrintArea" localSheetId="7" hidden="1">'1. Mort'!$A$1:$L$50</definedName>
    <definedName name="Z_EB776EFC_3589_4DB5_BEAF_1E83D9703F9E_.wvu.PrintArea" localSheetId="5" hidden="1">'1. Units &amp; Income'!$A$1:$E$44</definedName>
    <definedName name="Z_EB776EFC_3589_4DB5_BEAF_1E83D9703F9E_.wvu.PrintArea" localSheetId="13" hidden="1">'2. Devel. Bud'!$A$1:$F$93</definedName>
    <definedName name="Z_EB776EFC_3589_4DB5_BEAF_1E83D9703F9E_.wvu.PrintArea" localSheetId="16" hidden="1">'2. M and O'!$A$1:$E$39</definedName>
    <definedName name="Z_EB776EFC_3589_4DB5_BEAF_1E83D9703F9E_.wvu.PrintArea" localSheetId="17" hidden="1">'2. Mort'!$A$1:$L$50</definedName>
    <definedName name="Z_EB776EFC_3589_4DB5_BEAF_1E83D9703F9E_.wvu.PrintArea" localSheetId="15" hidden="1">'2. Units &amp; Income'!$A$1:$E$44</definedName>
    <definedName name="Z_EB776EFC_3589_4DB5_BEAF_1E83D9703F9E_.wvu.Rows" localSheetId="4" hidden="1">'1. Cons Int &amp; Neg Arb'!$54:$54</definedName>
    <definedName name="Z_EB776EFC_3589_4DB5_BEAF_1E83D9703F9E_.wvu.Rows" localSheetId="14" hidden="1">'2. Cons Int &amp; Neg Arb'!$54:$54</definedName>
    <definedName name="Z_FBB4BF8E_8A9F_4E98_A6F9_5F9BF4C55C67_.wvu.Cols" localSheetId="4" hidden="1">'1. Cons Int &amp; Neg Arb'!#REF!</definedName>
    <definedName name="Z_FBB4BF8E_8A9F_4E98_A6F9_5F9BF4C55C67_.wvu.Cols" localSheetId="3" hidden="1">'1. Devel. Bud'!#REF!</definedName>
    <definedName name="Z_FBB4BF8E_8A9F_4E98_A6F9_5F9BF4C55C67_.wvu.Cols" localSheetId="6" hidden="1">'1. M and O'!#REF!</definedName>
    <definedName name="Z_FBB4BF8E_8A9F_4E98_A6F9_5F9BF4C55C67_.wvu.Cols" localSheetId="14" hidden="1">'2. Cons Int &amp; Neg Arb'!#REF!</definedName>
    <definedName name="Z_FBB4BF8E_8A9F_4E98_A6F9_5F9BF4C55C67_.wvu.Cols" localSheetId="13" hidden="1">'2. Devel. Bud'!#REF!</definedName>
    <definedName name="Z_FBB4BF8E_8A9F_4E98_A6F9_5F9BF4C55C67_.wvu.Cols" localSheetId="16" hidden="1">'2. M and O'!#REF!</definedName>
    <definedName name="Z_FBB4BF8E_8A9F_4E98_A6F9_5F9BF4C55C67_.wvu.PrintArea" localSheetId="3" hidden="1">'1. Devel. Bud'!$A$1:$F$93</definedName>
    <definedName name="Z_FBB4BF8E_8A9F_4E98_A6F9_5F9BF4C55C67_.wvu.PrintArea" localSheetId="6" hidden="1">'1. M and O'!$A$1:$E$39</definedName>
    <definedName name="Z_FBB4BF8E_8A9F_4E98_A6F9_5F9BF4C55C67_.wvu.PrintArea" localSheetId="7" hidden="1">'1. Mort'!$A$1:$L$50</definedName>
    <definedName name="Z_FBB4BF8E_8A9F_4E98_A6F9_5F9BF4C55C67_.wvu.PrintArea" localSheetId="5" hidden="1">'1. Units &amp; Income'!$A$1:$E$44</definedName>
    <definedName name="Z_FBB4BF8E_8A9F_4E98_A6F9_5F9BF4C55C67_.wvu.PrintArea" localSheetId="13" hidden="1">'2. Devel. Bud'!$A$1:$F$93</definedName>
    <definedName name="Z_FBB4BF8E_8A9F_4E98_A6F9_5F9BF4C55C67_.wvu.PrintArea" localSheetId="16" hidden="1">'2. M and O'!$A$1:$E$39</definedName>
    <definedName name="Z_FBB4BF8E_8A9F_4E98_A6F9_5F9BF4C55C67_.wvu.PrintArea" localSheetId="17" hidden="1">'2. Mort'!$A$1:$L$50</definedName>
    <definedName name="Z_FBB4BF8E_8A9F_4E98_A6F9_5F9BF4C55C67_.wvu.PrintArea" localSheetId="15" hidden="1">'2. Units &amp; Income'!$A$1:$E$44</definedName>
    <definedName name="Z_FBB4BF8E_8A9F_4E98_A6F9_5F9BF4C55C67_.wvu.Rows" localSheetId="4" hidden="1">'1. Cons Int &amp; Neg Arb'!$54:$54</definedName>
    <definedName name="Z_FBB4BF8E_8A9F_4E98_A6F9_5F9BF4C55C67_.wvu.Rows" localSheetId="14" hidden="1">'2. Cons Int &amp; Neg Arb'!$54:$54</definedName>
  </definedNames>
  <calcPr fullCalcOnLoad="1"/>
</workbook>
</file>

<file path=xl/comments28.xml><?xml version="1.0" encoding="utf-8"?>
<comments xmlns="http://schemas.openxmlformats.org/spreadsheetml/2006/main">
  <authors>
    <author>mbrian</author>
    <author>NYC</author>
  </authors>
  <commentList>
    <comment ref="L37" authorId="0">
      <text>
        <r>
          <rPr>
            <b/>
            <sz val="8"/>
            <rFont val="Tahoma"/>
            <family val="0"/>
          </rPr>
          <t xml:space="preserve">Use "Goal Seek" tool to achieve 1.05 DCR by changing I30
</t>
        </r>
      </text>
    </comment>
    <comment ref="I30" authorId="1">
      <text>
        <r>
          <rPr>
            <b/>
            <sz val="8"/>
            <rFont val="Tahoma"/>
            <family val="0"/>
          </rPr>
          <t>Insert value from M20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<sst xmlns="http://schemas.openxmlformats.org/spreadsheetml/2006/main" count="1789" uniqueCount="665">
  <si>
    <t>Total</t>
  </si>
  <si>
    <t># of Spaces</t>
  </si>
  <si>
    <t>Monthly Rent</t>
  </si>
  <si>
    <t>Annual Income</t>
  </si>
  <si>
    <t>Total s.f.</t>
  </si>
  <si>
    <t>Annual Rent/s.f.</t>
  </si>
  <si>
    <t># units</t>
  </si>
  <si>
    <t>Laundry</t>
  </si>
  <si>
    <t>SOURCES AND USES</t>
  </si>
  <si>
    <t xml:space="preserve">         TOTAL SOURCES</t>
  </si>
  <si>
    <t xml:space="preserve">     Acquisition Cost</t>
  </si>
  <si>
    <t xml:space="preserve">     Construction Cost</t>
  </si>
  <si>
    <t xml:space="preserve">     Soft Cost</t>
  </si>
  <si>
    <t xml:space="preserve">     Developer's Fee</t>
  </si>
  <si>
    <t xml:space="preserve">          TOTAL USES</t>
  </si>
  <si>
    <t>Supplies/Cleaning/Exterminating</t>
  </si>
  <si>
    <t>per room</t>
  </si>
  <si>
    <t>Heating</t>
  </si>
  <si>
    <t>Gas &amp; Electricity</t>
  </si>
  <si>
    <t>per unit</t>
  </si>
  <si>
    <t>Painting</t>
  </si>
  <si>
    <t>Superintendent &amp; Maintenance Staff Salaries</t>
  </si>
  <si>
    <t>Number of:</t>
  </si>
  <si>
    <t xml:space="preserve">Elevator Maintenance &amp; Repairs </t>
  </si>
  <si>
    <t xml:space="preserve">Management Fee </t>
  </si>
  <si>
    <t xml:space="preserve">Water &amp; Sewer </t>
  </si>
  <si>
    <t xml:space="preserve">Fire and Liability Insurance </t>
  </si>
  <si>
    <t xml:space="preserve">Replacement Reserve </t>
  </si>
  <si>
    <t>M &amp; O Before Taxes and Debt Service</t>
  </si>
  <si>
    <t>Real estate taxes</t>
  </si>
  <si>
    <t>Total Expenses</t>
  </si>
  <si>
    <t>Determination of Maximum Insurable Mortgage</t>
  </si>
  <si>
    <t>Net Residential Income</t>
  </si>
  <si>
    <t>MIP</t>
  </si>
  <si>
    <t>Sum of above rates</t>
  </si>
  <si>
    <t xml:space="preserve">Ancillary/Laundry </t>
  </si>
  <si>
    <t>Total Supportable First Mortgage</t>
  </si>
  <si>
    <t>Total Combined Debt</t>
  </si>
  <si>
    <t>1st Loan</t>
  </si>
  <si>
    <t>2nd Loan</t>
  </si>
  <si>
    <t>Maintenance/Operating</t>
  </si>
  <si>
    <t xml:space="preserve">Real estate taxes </t>
  </si>
  <si>
    <t>Term</t>
  </si>
  <si>
    <t>Replacement Reserve</t>
  </si>
  <si>
    <t>NET OPERATING INCOME</t>
  </si>
  <si>
    <t>Balance</t>
  </si>
  <si>
    <t>Net Available @1.05 Income to Expense</t>
  </si>
  <si>
    <t>Debt Service</t>
  </si>
  <si>
    <t>/du</t>
  </si>
  <si>
    <t>Borrower's Legal</t>
  </si>
  <si>
    <t>Accounting</t>
  </si>
  <si>
    <t>Borrower's Engineer/Architect Fees</t>
  </si>
  <si>
    <t>Subtotal</t>
  </si>
  <si>
    <t>Negative Arbitrage</t>
  </si>
  <si>
    <t>HDC 2nd</t>
  </si>
  <si>
    <t>Bank Legal</t>
  </si>
  <si>
    <t>Survey</t>
  </si>
  <si>
    <t>Construction Interest</t>
  </si>
  <si>
    <t>Insurance</t>
  </si>
  <si>
    <t>Utilities</t>
  </si>
  <si>
    <t>Marketing</t>
  </si>
  <si>
    <t>Developer's Fee</t>
  </si>
  <si>
    <t>Total Development Cost:</t>
  </si>
  <si>
    <t>Studio</t>
  </si>
  <si>
    <t># of Rms/ DU</t>
  </si>
  <si>
    <t>per rm/du</t>
  </si>
  <si>
    <t>Cooking Gas</t>
  </si>
  <si>
    <t>% Outstanding</t>
  </si>
  <si>
    <t>per elevator</t>
  </si>
  <si>
    <t xml:space="preserve">Net Available for Debt Service @ </t>
  </si>
  <si>
    <t>Deferred Developer's Fee</t>
  </si>
  <si>
    <t>Expenses</t>
  </si>
  <si>
    <t>Contingency</t>
  </si>
  <si>
    <t>Title Insurance</t>
  </si>
  <si>
    <t>Bank's Engineer</t>
  </si>
  <si>
    <t>Super's Unit</t>
  </si>
  <si>
    <t>Permanent Sources</t>
  </si>
  <si>
    <t>Upfront L/C Fee</t>
  </si>
  <si>
    <t>Annual L/C Fee</t>
  </si>
  <si>
    <t>(oil)</t>
  </si>
  <si>
    <t>Income to Expense</t>
  </si>
  <si>
    <t>Construction Sources</t>
  </si>
  <si>
    <t>Soft Cost Contingency</t>
  </si>
  <si>
    <t>Security</t>
  </si>
  <si>
    <t>Commercial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</si>
  <si>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</si>
  <si>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</si>
  <si>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</si>
  <si>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</si>
  <si>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</si>
  <si>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</si>
  <si>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</si>
  <si>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</si>
  <si>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</si>
  <si>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</si>
  <si>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 Income</t>
  </si>
  <si>
    <t>M&amp;O Expenses</t>
  </si>
  <si>
    <t>Building Reserve</t>
  </si>
  <si>
    <t>NOI</t>
  </si>
  <si>
    <t>Net Cash Flow</t>
  </si>
  <si>
    <t>Total Bond Amount</t>
  </si>
  <si>
    <t>Long Term Amount</t>
  </si>
  <si>
    <t>Short Term Amount</t>
  </si>
  <si>
    <t>Investment Spread</t>
  </si>
  <si>
    <t>porters</t>
  </si>
  <si>
    <t>/unit</t>
  </si>
  <si>
    <t>Community</t>
  </si>
  <si>
    <t>unit</t>
  </si>
  <si>
    <t>General Conditions</t>
  </si>
  <si>
    <t>Parking Income</t>
  </si>
  <si>
    <t>average per sf</t>
  </si>
  <si>
    <t>Parking - at grade</t>
  </si>
  <si>
    <t>Total Soft Costs</t>
  </si>
  <si>
    <t>of soft costs</t>
  </si>
  <si>
    <t>Parking</t>
  </si>
  <si>
    <t>psf</t>
  </si>
  <si>
    <t>Ancillary Income</t>
  </si>
  <si>
    <t>Net Cash Flow in 12 years</t>
  </si>
  <si>
    <t>Borings</t>
  </si>
  <si>
    <t xml:space="preserve"> </t>
  </si>
  <si>
    <t xml:space="preserve">  </t>
  </si>
  <si>
    <t>Year 11</t>
  </si>
  <si>
    <t>Year 12</t>
  </si>
  <si>
    <t>Interest Rate Cap (estimate)</t>
  </si>
  <si>
    <t>per DU</t>
  </si>
  <si>
    <t>% of total</t>
  </si>
  <si>
    <t># Rooms</t>
  </si>
  <si>
    <t>Commercial Income</t>
  </si>
  <si>
    <t>Total Commercial &amp; Ancillary  Income</t>
  </si>
  <si>
    <t>Residential Income</t>
  </si>
  <si>
    <t>Annual per unit</t>
  </si>
  <si>
    <t>TOTAL ANNUAL PROJECT INCOME</t>
  </si>
  <si>
    <t>DEVELOPMENT BUDGET</t>
  </si>
  <si>
    <t>NEGATIVE ARBITRAGE</t>
  </si>
  <si>
    <t>MAINTENANCE &amp; OPERATING EXPENSES</t>
  </si>
  <si>
    <t>F/T super(s)</t>
  </si>
  <si>
    <t>TOTAL ANNUAL PROJECT EXPENSES</t>
  </si>
  <si>
    <t>% of bond</t>
  </si>
  <si>
    <t>Bond Amount</t>
  </si>
  <si>
    <t>Months</t>
  </si>
  <si>
    <t>Years</t>
  </si>
  <si>
    <t>Construction term</t>
  </si>
  <si>
    <t xml:space="preserve">Rent-up &amp; conversion term </t>
  </si>
  <si>
    <t>Total term</t>
  </si>
  <si>
    <t>Variable Rate</t>
  </si>
  <si>
    <t>MIRP</t>
  </si>
  <si>
    <t>Amount</t>
  </si>
  <si>
    <t>Interest Rate</t>
  </si>
  <si>
    <t>Fixed Rate</t>
  </si>
  <si>
    <t>Term (years)</t>
  </si>
  <si>
    <t>Interest</t>
  </si>
  <si>
    <t>Total Fixed Rate Cons. Interest</t>
  </si>
  <si>
    <t xml:space="preserve"> HDC 1st</t>
  </si>
  <si>
    <t>Total Variable Rate Cons. Interest</t>
  </si>
  <si>
    <t>Interest Calculations</t>
  </si>
  <si>
    <t>Rate</t>
  </si>
  <si>
    <t>Construction Term (years)</t>
  </si>
  <si>
    <t>Investment Rate</t>
  </si>
  <si>
    <t>(for fixed-rate deals only)</t>
  </si>
  <si>
    <t xml:space="preserve">Less Residential Vacancies </t>
  </si>
  <si>
    <t xml:space="preserve">Commercial Income </t>
  </si>
  <si>
    <t>Community Space Income</t>
  </si>
  <si>
    <t>Less Parking Vacancies</t>
  </si>
  <si>
    <t>Less Ancillary/Laundry Vac</t>
  </si>
  <si>
    <t xml:space="preserve">Less Commercial Vac </t>
  </si>
  <si>
    <t>Net Comm &amp; Ancillary Income</t>
  </si>
  <si>
    <t>based on net available for debt service and land taxes</t>
  </si>
  <si>
    <t>Income</t>
  </si>
  <si>
    <t>Net Income</t>
  </si>
  <si>
    <t>Less Community Space Income</t>
  </si>
  <si>
    <t>Fixed Interest Rates</t>
  </si>
  <si>
    <t>Amt Amortized</t>
  </si>
  <si>
    <t>Balloon %</t>
  </si>
  <si>
    <t>Debt Coverage</t>
  </si>
  <si>
    <t>Yrs 1 - 30</t>
  </si>
  <si>
    <t>increases</t>
  </si>
  <si>
    <t>EFFECTIVE INCOMES</t>
  </si>
  <si>
    <t>EXPENSES</t>
  </si>
  <si>
    <t xml:space="preserve">Contractor Price </t>
  </si>
  <si>
    <t>Community Space</t>
  </si>
  <si>
    <t>Residential</t>
  </si>
  <si>
    <t xml:space="preserve">Appraisal </t>
  </si>
  <si>
    <t>Total Hard Cost</t>
  </si>
  <si>
    <t>Acquisition Cost</t>
  </si>
  <si>
    <t>Construction Cost</t>
  </si>
  <si>
    <t>Soft Cost</t>
  </si>
  <si>
    <t>Construction Monitor</t>
  </si>
  <si>
    <t>Permits and expediting</t>
  </si>
  <si>
    <t>of ERI</t>
  </si>
  <si>
    <t>Average Net SF</t>
  </si>
  <si>
    <t>per Unit</t>
  </si>
  <si>
    <t>Average Net SF per DU</t>
  </si>
  <si>
    <t>Environmental Phase I &amp; II</t>
  </si>
  <si>
    <t>Capitalized Operating Reserve</t>
  </si>
  <si>
    <t>Geotechnical</t>
  </si>
  <si>
    <t>.</t>
  </si>
  <si>
    <t>Water/Sewer &amp; Real Estate Taxes</t>
  </si>
  <si>
    <t>Net Residential Square Feet</t>
  </si>
  <si>
    <t xml:space="preserve">Legal </t>
  </si>
  <si>
    <t>per project</t>
  </si>
  <si>
    <t>Assumed Subsidies</t>
  </si>
  <si>
    <t>Uses</t>
  </si>
  <si>
    <t>CONSTRUCTION INTEREST</t>
  </si>
  <si>
    <t>LETTER OF CREDIT AMOUNT</t>
  </si>
  <si>
    <t>Days Interest</t>
  </si>
  <si>
    <t>LC Amount</t>
  </si>
  <si>
    <t xml:space="preserve">Long Term </t>
  </si>
  <si>
    <t xml:space="preserve">Short Term </t>
  </si>
  <si>
    <t>COMMERICAL AND ANCILLARY INCOME</t>
  </si>
  <si>
    <t>MORTGAGE SIZING</t>
  </si>
  <si>
    <t>Variable Interest Rates</t>
  </si>
  <si>
    <t>Base Rate</t>
  </si>
  <si>
    <t>Underwriting Cushion</t>
  </si>
  <si>
    <t>LC Fees</t>
  </si>
  <si>
    <t>Trustee</t>
  </si>
  <si>
    <t>Remarketing</t>
  </si>
  <si>
    <t>Servicing</t>
  </si>
  <si>
    <t>Base Underwriting Rate</t>
  </si>
  <si>
    <t>Reserves and Contingency</t>
  </si>
  <si>
    <t>Total Cost</t>
  </si>
  <si>
    <t>Eligible Cost (Y/N)</t>
  </si>
  <si>
    <t>Eligible Amount</t>
  </si>
  <si>
    <t>N</t>
  </si>
  <si>
    <t>Y</t>
  </si>
  <si>
    <t>% TC Units</t>
  </si>
  <si>
    <t>% Non Residential Costs</t>
  </si>
  <si>
    <t>Aplicable Fraction</t>
  </si>
  <si>
    <t>Construction Bonds</t>
  </si>
  <si>
    <t>Annual Credit @</t>
  </si>
  <si>
    <t>Amount Raised per Credit @</t>
  </si>
  <si>
    <t>Amount Raised Total</t>
  </si>
  <si>
    <t>Eligible Basis with Boost</t>
  </si>
  <si>
    <t>Units:</t>
  </si>
  <si>
    <t>TAX CREDIT ANAYLSIS*</t>
  </si>
  <si>
    <t>*This is an estimate; for actual raise and calculation, defer to LIHTC Investor</t>
  </si>
  <si>
    <t xml:space="preserve"> Long Term</t>
  </si>
  <si>
    <t>Short Term</t>
  </si>
  <si>
    <t>LIHTC Application Fee</t>
  </si>
  <si>
    <t>Third Mortgage</t>
  </si>
  <si>
    <t>Fourth Mortgage</t>
  </si>
  <si>
    <t>3rd Loan</t>
  </si>
  <si>
    <t>4th Loan</t>
  </si>
  <si>
    <t>Social Service Reserve</t>
  </si>
  <si>
    <t>Accounting &amp; Cost Certification</t>
  </si>
  <si>
    <t>Additional Operating Reserve (if applicable)</t>
  </si>
  <si>
    <t>TAX EXEMPT</t>
  </si>
  <si>
    <t>Commercial Space</t>
  </si>
  <si>
    <t>Total Annual Rental Income upon occupancy</t>
  </si>
  <si>
    <t>Fourth Mortgage (Lender:                                )</t>
  </si>
  <si>
    <t>Developer Equity</t>
  </si>
  <si>
    <t>TRADE ITEM</t>
  </si>
  <si>
    <t>$ AMOUNT</t>
  </si>
  <si>
    <t>Demolition</t>
  </si>
  <si>
    <t>Environmental Remediation</t>
  </si>
  <si>
    <t>Landscaping / Site Work</t>
  </si>
  <si>
    <t>Concrete</t>
  </si>
  <si>
    <t>6a</t>
  </si>
  <si>
    <t>Masonry, pointing, waterproofing, steam cleaning</t>
  </si>
  <si>
    <t>6b</t>
  </si>
  <si>
    <t>Carpentry, rough</t>
  </si>
  <si>
    <t>Carpentry, finished</t>
  </si>
  <si>
    <t>Metals, structural steel</t>
  </si>
  <si>
    <t>Roofing</t>
  </si>
  <si>
    <t>Insulation</t>
  </si>
  <si>
    <t>Doors, frames, hardware</t>
  </si>
  <si>
    <t>Windows and glazing</t>
  </si>
  <si>
    <t>Entrance doors</t>
  </si>
  <si>
    <t>Drywall and plastering</t>
  </si>
  <si>
    <t>Ceramic tile</t>
  </si>
  <si>
    <t>Finish flooring</t>
  </si>
  <si>
    <t>17a</t>
  </si>
  <si>
    <t>17b</t>
  </si>
  <si>
    <t>Kitchen cabinets</t>
  </si>
  <si>
    <t>Applicances, medicine cabinet</t>
  </si>
  <si>
    <t>Heating and ventilation</t>
  </si>
  <si>
    <t>Plumbing</t>
  </si>
  <si>
    <t>Electrical</t>
  </si>
  <si>
    <t>Other:__________________</t>
  </si>
  <si>
    <t>Overhead</t>
  </si>
  <si>
    <t>Profit</t>
  </si>
  <si>
    <t>These calculations must match the architectural plans included in the proposal.</t>
  </si>
  <si>
    <t xml:space="preserve">TOTAL BUILT FLOOR AREA (Gross Square Feet): </t>
  </si>
  <si>
    <t>Railroad trench deck (Site B only)</t>
  </si>
  <si>
    <t>Source:</t>
  </si>
  <si>
    <t>2nd Construction</t>
  </si>
  <si>
    <t>3rd Construction</t>
  </si>
  <si>
    <t>4th Construction</t>
  </si>
  <si>
    <t>1st - Short Term</t>
  </si>
  <si>
    <t>1st - Long Term</t>
  </si>
  <si>
    <t xml:space="preserve">SUBTOTAL </t>
  </si>
  <si>
    <t xml:space="preserve">GRAND TOTAL </t>
  </si>
  <si>
    <t>Servicing Fee</t>
  </si>
  <si>
    <t>Developer Costs</t>
  </si>
  <si>
    <t>Second Mortgage</t>
  </si>
  <si>
    <t>Family of Four</t>
  </si>
  <si>
    <t>2 BR FMR</t>
  </si>
  <si>
    <t>Electricity Allowance</t>
  </si>
  <si>
    <t>Gas Allowance</t>
  </si>
  <si>
    <t>2 rooms</t>
  </si>
  <si>
    <t>studio</t>
  </si>
  <si>
    <t>3 rooms</t>
  </si>
  <si>
    <t>1 BR</t>
  </si>
  <si>
    <t>4 rooms</t>
  </si>
  <si>
    <t>2 BR</t>
  </si>
  <si>
    <t>5 rooms</t>
  </si>
  <si>
    <t>3 BR</t>
  </si>
  <si>
    <t>HH size</t>
  </si>
  <si>
    <t>HH factor</t>
  </si>
  <si>
    <t>max gross monthly rent</t>
  </si>
  <si>
    <t>rent less electricity</t>
  </si>
  <si>
    <t>max net monthly rent</t>
  </si>
  <si>
    <t>RESIDENTIAL INCOME</t>
  </si>
  <si>
    <t>2008 HUD Income Limits</t>
  </si>
  <si>
    <t>Number of units</t>
  </si>
  <si>
    <t>Annual Rent</t>
  </si>
  <si>
    <t>HUD IL</t>
  </si>
  <si>
    <t>Unit size</t>
  </si>
  <si>
    <t>Total units</t>
  </si>
  <si>
    <t>annual + fringe</t>
  </si>
  <si>
    <t>Repairs/Replacement</t>
  </si>
  <si>
    <t>Other Expenses(Specify:_________)</t>
  </si>
  <si>
    <t>+___ bps cushion</t>
  </si>
  <si>
    <t xml:space="preserve">Fixed Rates </t>
  </si>
  <si>
    <t>SIFMA</t>
  </si>
  <si>
    <t xml:space="preserve">Carrying Costs </t>
  </si>
  <si>
    <t>(change link if assuming variable rate)</t>
  </si>
  <si>
    <t>Financing Fees (Please maintain links to original calculations and note any changes)</t>
  </si>
  <si>
    <t>HDC Fee (if applicable)</t>
  </si>
  <si>
    <t>HH income</t>
  </si>
  <si>
    <r>
      <t>Note:</t>
    </r>
    <r>
      <rPr>
        <sz val="12"/>
        <rFont val="Arial"/>
        <family val="2"/>
      </rPr>
      <t xml:space="preserve"> For market rate units, please hard code rents</t>
    </r>
  </si>
  <si>
    <t>Other (Specify:_________________)</t>
  </si>
  <si>
    <t>1 Bedroom</t>
  </si>
  <si>
    <t>2 Bedroom</t>
  </si>
  <si>
    <t>3 Bedroom</t>
  </si>
  <si>
    <t>Market Rate</t>
  </si>
  <si>
    <t>Instructions</t>
  </si>
  <si>
    <t>Rent Less Electricity = 1, Rent Less Electricity/Gas = 0</t>
  </si>
  <si>
    <t>Enter 1st Mortgage Amount from Cell H30 here</t>
  </si>
  <si>
    <t>of TDC less Dev Fee</t>
  </si>
  <si>
    <t>of LOC amt</t>
  </si>
  <si>
    <t xml:space="preserve">of LOC amt </t>
  </si>
  <si>
    <t>of HDC cons 1st</t>
  </si>
  <si>
    <t>Combined DSCR</t>
  </si>
  <si>
    <t>1st Mort DSCR</t>
  </si>
  <si>
    <t>utility allowance</t>
  </si>
  <si>
    <t>Number of TC Units</t>
  </si>
  <si>
    <t>Note: HH factor for studios &lt;80% HUD IL is 0.70</t>
  </si>
  <si>
    <t>Residential GSF</t>
  </si>
  <si>
    <t>Commercial GSF</t>
  </si>
  <si>
    <t>Community GSF</t>
  </si>
  <si>
    <t>Parking GSF</t>
  </si>
  <si>
    <t>Efficiency</t>
  </si>
  <si>
    <t>NSF</t>
  </si>
  <si>
    <t>Total Project NSF</t>
  </si>
  <si>
    <t>GSF</t>
  </si>
  <si>
    <t>Total Project GSF</t>
  </si>
  <si>
    <t xml:space="preserve">Applicants must provide these forms in Excel file format by e-mail or on CD. </t>
  </si>
  <si>
    <t>Other source (Specify:                                )</t>
  </si>
  <si>
    <t>Mortgage Recording Tax</t>
  </si>
  <si>
    <t>Includes Environmental Site Assessment</t>
  </si>
  <si>
    <t>City Environmental Quality Review ("CEQR")</t>
  </si>
  <si>
    <t>For Variable Rate Deals only</t>
  </si>
  <si>
    <t>Tax Incentive Fees &amp; Consultant</t>
  </si>
  <si>
    <t>e.g.- 421a</t>
  </si>
  <si>
    <t>See HPD or DHCR Quailfied Allocation Plan</t>
  </si>
  <si>
    <t>Non Profit Sponsor Fee</t>
  </si>
  <si>
    <t>Only Applicable for Fixed Rate Deals</t>
  </si>
  <si>
    <t>Costs of Bond Issuance</t>
  </si>
  <si>
    <t>Does not apply to HDC Bond deals</t>
  </si>
  <si>
    <t>For any required homeless set-aside units</t>
  </si>
  <si>
    <t>See term sheets</t>
  </si>
  <si>
    <t>Total # of Units</t>
  </si>
  <si>
    <t>UNIT DISTRIBUTION</t>
  </si>
  <si>
    <t>SF DISTRIBUTION</t>
  </si>
  <si>
    <t># Market Rate</t>
  </si>
  <si>
    <t># Affordable</t>
  </si>
  <si>
    <t>Percent of Total</t>
  </si>
  <si>
    <t>minimum $250/unit/year</t>
  </si>
  <si>
    <t>Typically underwritten to .9% of all loans</t>
  </si>
  <si>
    <t>Fianancial Feasibility of Development Proposal: Weight 50%</t>
  </si>
  <si>
    <t>Proposal 1</t>
  </si>
  <si>
    <t>Development Team</t>
  </si>
  <si>
    <t xml:space="preserve">Developer </t>
  </si>
  <si>
    <t>Architect</t>
  </si>
  <si>
    <t>ZONING/SIZE</t>
  </si>
  <si>
    <t>Lot Area</t>
  </si>
  <si>
    <t>Building Height</t>
  </si>
  <si>
    <t>No. of Stories</t>
  </si>
  <si>
    <t>Building 1</t>
  </si>
  <si>
    <t>Total GSF of Project</t>
  </si>
  <si>
    <t>Building 2</t>
  </si>
  <si>
    <t>Total Residential GSF</t>
  </si>
  <si>
    <t>Total Commercial GSF</t>
  </si>
  <si>
    <t>Community Facility</t>
  </si>
  <si>
    <t>UNIT COUNT</t>
  </si>
  <si>
    <t>% Total</t>
  </si>
  <si>
    <t>Market Rate Units</t>
  </si>
  <si>
    <t>Affordable Units</t>
  </si>
  <si>
    <t>All-In DSCR</t>
  </si>
  <si>
    <t>Homeownership (excl SH)</t>
  </si>
  <si>
    <t>Rental (excl SH)</t>
  </si>
  <si>
    <t>LIHTC Raise</t>
  </si>
  <si>
    <t>Senior</t>
  </si>
  <si>
    <t>Variable Const Rate</t>
  </si>
  <si>
    <t>Formerly Homeless</t>
  </si>
  <si>
    <t>AFFORDABILITY</t>
  </si>
  <si>
    <t>30-80% of AMI</t>
  </si>
  <si>
    <t>81-130% of AMI</t>
  </si>
  <si>
    <t>131-165% of AMI</t>
  </si>
  <si>
    <t>Market rate</t>
  </si>
  <si>
    <t>30% of AMI</t>
  </si>
  <si>
    <t>40% of AMI</t>
  </si>
  <si>
    <t>50% of AMI</t>
  </si>
  <si>
    <t>60% of AMI</t>
  </si>
  <si>
    <t>70% of AMI</t>
  </si>
  <si>
    <t>80% of AMI</t>
  </si>
  <si>
    <t>90% of AMI</t>
  </si>
  <si>
    <t>100% of AMI</t>
  </si>
  <si>
    <t>110% of AMI</t>
  </si>
  <si>
    <t>130% of AMI</t>
  </si>
  <si>
    <t>150% of AMI</t>
  </si>
  <si>
    <t># Units</t>
  </si>
  <si>
    <t>1-Bedroom</t>
  </si>
  <si>
    <t>2-Bedrooms</t>
  </si>
  <si>
    <t>Total Unit Count/Distribution</t>
  </si>
  <si>
    <t>Size Units</t>
  </si>
  <si>
    <t>2-Beddrooms</t>
  </si>
  <si>
    <t>Weighted Average Unit Size</t>
  </si>
  <si>
    <t>RENTS</t>
  </si>
  <si>
    <t>Market Condo Fee psf</t>
  </si>
  <si>
    <t>Affordable Coop Maintenance psf</t>
  </si>
  <si>
    <t>Parking Rent per space</t>
  </si>
  <si>
    <t>SALES</t>
  </si>
  <si>
    <t>Market Rate - Studios</t>
  </si>
  <si>
    <t>Market Rate - 1 BR</t>
  </si>
  <si>
    <t>Market Rate - 2 BR</t>
  </si>
  <si>
    <t>Market Rate - 3 BR</t>
  </si>
  <si>
    <t>Average Market Rate Sales</t>
  </si>
  <si>
    <t>Affordable - Studios</t>
  </si>
  <si>
    <t>Affordable - 1 BR</t>
  </si>
  <si>
    <t>Affordable - 2 BR</t>
  </si>
  <si>
    <t>Affordable - 3 BR</t>
  </si>
  <si>
    <t>Average Affordable Sales</t>
  </si>
  <si>
    <t>Parking Sales psf</t>
  </si>
  <si>
    <t>INCOME SUMMARY</t>
  </si>
  <si>
    <t>Residential Income (annual)</t>
  </si>
  <si>
    <t>Community Facility Income</t>
  </si>
  <si>
    <t>Parking Income (monthly)</t>
  </si>
  <si>
    <t>PGI</t>
  </si>
  <si>
    <t>EGI</t>
  </si>
  <si>
    <t>per Room</t>
  </si>
  <si>
    <t>Replacement Rsrv. Per DU</t>
  </si>
  <si>
    <t>Debt Coverage Ratio</t>
  </si>
  <si>
    <t>NOI (before taxes)</t>
  </si>
  <si>
    <t>Real Estate Taxes</t>
  </si>
  <si>
    <t>Hard Costs - Residential Total</t>
  </si>
  <si>
    <t>per SF</t>
  </si>
  <si>
    <t>Hard Costs - Commercial Total</t>
  </si>
  <si>
    <t>Hard Cost Contingency</t>
  </si>
  <si>
    <t>Total Hard Costs</t>
  </si>
  <si>
    <t>Financing Costs</t>
  </si>
  <si>
    <t>Professional Fees</t>
  </si>
  <si>
    <t>Developer Fee</t>
  </si>
  <si>
    <t>Up Front Developer Fee</t>
  </si>
  <si>
    <t>Total Development Costs</t>
  </si>
  <si>
    <t>FEASIBILITY</t>
  </si>
  <si>
    <t>Construction  Sources</t>
  </si>
  <si>
    <t>Total Construction Sources</t>
  </si>
  <si>
    <t>Permanent  Sources</t>
  </si>
  <si>
    <t>Sales Proceeds</t>
  </si>
  <si>
    <t>Total Permanent Sources</t>
  </si>
  <si>
    <t>Total Volume Cap</t>
  </si>
  <si>
    <t>Pro Forma</t>
  </si>
  <si>
    <t>Other ___________________</t>
  </si>
  <si>
    <t>Mechanical / Utility Areas</t>
  </si>
  <si>
    <t>HDC Inducement Fee</t>
  </si>
  <si>
    <t>HPD Fee (if applicable)</t>
  </si>
  <si>
    <t>Freddie Origination Fee</t>
  </si>
  <si>
    <t>Freddie Annual Fee</t>
  </si>
  <si>
    <t>DUS Lender Origination Fee</t>
  </si>
  <si>
    <t>Standby fee (Freddie/Wachovia)</t>
  </si>
  <si>
    <t>on loan amount</t>
  </si>
  <si>
    <t>per du</t>
  </si>
  <si>
    <t>per sf</t>
  </si>
  <si>
    <t>Rooms:</t>
  </si>
  <si>
    <t>Total Gross Square Feet</t>
  </si>
  <si>
    <t xml:space="preserve">ARCHITECTUAL DETAILS </t>
  </si>
  <si>
    <t>Lot Area (GSF)</t>
  </si>
  <si>
    <t>Building Height (Ft.)</t>
  </si>
  <si>
    <t>Other GSF</t>
  </si>
  <si>
    <t>Total Gross Sq Feet</t>
  </si>
  <si>
    <t>Total Formaly Homeless Units</t>
  </si>
  <si>
    <t>Total Senior Units</t>
  </si>
  <si>
    <t>If Applicable</t>
  </si>
  <si>
    <t>3-Bedrooms</t>
  </si>
  <si>
    <t>Park Maintenance</t>
  </si>
  <si>
    <t>M&amp;O (w. park maintenance) Before DS</t>
  </si>
  <si>
    <t xml:space="preserve">HDC Bond First Mortgage </t>
  </si>
  <si>
    <t>HDC Second Mortgage</t>
  </si>
  <si>
    <t>HPD Subsidy Third Mortgage</t>
  </si>
  <si>
    <t>average per DU</t>
  </si>
  <si>
    <t>Hard Costs - Community Space Total</t>
  </si>
  <si>
    <t>Total HPD Subsidy Requirement</t>
  </si>
  <si>
    <t>Create Buiding 3 column if necessary</t>
  </si>
  <si>
    <t>Per unit</t>
  </si>
  <si>
    <t>CONSTRUCTION SOURCES</t>
  </si>
  <si>
    <t>PERMANENT SOURCES</t>
  </si>
  <si>
    <t>USES</t>
  </si>
  <si>
    <t>Acquisition Costs</t>
  </si>
  <si>
    <t xml:space="preserve">Construction Costs </t>
  </si>
  <si>
    <t>Soft Costs</t>
  </si>
  <si>
    <t>-</t>
  </si>
  <si>
    <t>Development Budget</t>
  </si>
  <si>
    <t>Predevelopment Costs</t>
  </si>
  <si>
    <t>Predevelopment loan interest</t>
  </si>
  <si>
    <t>ACQUISITION COSTS:</t>
  </si>
  <si>
    <t xml:space="preserve">Acquisition  </t>
  </si>
  <si>
    <t>City Transfer Tax</t>
  </si>
  <si>
    <t>of acquisition</t>
  </si>
  <si>
    <t>State Transfer Tax</t>
  </si>
  <si>
    <t>Subtotal:</t>
  </si>
  <si>
    <t>CONSTRUCTION COSTS:</t>
  </si>
  <si>
    <t>PROFESSIONAL FEES:</t>
  </si>
  <si>
    <t xml:space="preserve">Borrower  Legal </t>
  </si>
  <si>
    <t>Architect/Engineering Fees</t>
  </si>
  <si>
    <t>of HC</t>
  </si>
  <si>
    <t>Appraisal</t>
  </si>
  <si>
    <t>AG/Coop Plan Fees</t>
  </si>
  <si>
    <t>Environmental Phase I</t>
  </si>
  <si>
    <t>City Environmental Quality Review/Environmental Site Assesment</t>
  </si>
  <si>
    <t>Bank Engineer</t>
  </si>
  <si>
    <t>DOB Fees</t>
  </si>
  <si>
    <t>421-a Fees (if applicable)</t>
  </si>
  <si>
    <t>40bps of TDC or sell out price</t>
  </si>
  <si>
    <t>CLOSING FEES:</t>
  </si>
  <si>
    <t>Bank Commitment Fee</t>
  </si>
  <si>
    <t>Title</t>
  </si>
  <si>
    <t>Other (Specify:____________________)</t>
  </si>
  <si>
    <t>CARRYING COSTS:</t>
  </si>
  <si>
    <t>Title Continuations</t>
  </si>
  <si>
    <t>Water &amp; Sewer Tax</t>
  </si>
  <si>
    <t>Transfer Tax (developer to Coop) - State</t>
  </si>
  <si>
    <t>sale proceeds</t>
  </si>
  <si>
    <t xml:space="preserve">$2 tax per every $500 sales </t>
  </si>
  <si>
    <t>Coop Maintenance for Unsold Shares</t>
  </si>
  <si>
    <t>25% of units x M&amp;O/yr x 1 yr</t>
  </si>
  <si>
    <t>Capital Reserves</t>
  </si>
  <si>
    <t>Insurance (Fire and Extended)</t>
  </si>
  <si>
    <t>Coop Offering Plan</t>
  </si>
  <si>
    <t>Partnership Fee</t>
  </si>
  <si>
    <t>RISCO Fee</t>
  </si>
  <si>
    <t>TOTAL SOFT COSTS</t>
  </si>
  <si>
    <t>unsubsidized costs</t>
  </si>
  <si>
    <t>First Mortgage (Lender:                                )</t>
  </si>
  <si>
    <t>Second Mortgage (Lender:                                )</t>
  </si>
  <si>
    <t>Third Mortgage (Lender:                                )</t>
  </si>
  <si>
    <t>Other (Specify: _______________)</t>
  </si>
  <si>
    <t>5% min</t>
  </si>
  <si>
    <t>Sale Proceeds</t>
  </si>
  <si>
    <t>GAP/(SURPLUS)</t>
  </si>
  <si>
    <t xml:space="preserve">Total </t>
  </si>
  <si>
    <t>Arbitrage and Construction Interest Calculations</t>
  </si>
  <si>
    <t>Loan Amount</t>
  </si>
  <si>
    <t>Long-term</t>
  </si>
  <si>
    <t>Short-term</t>
  </si>
  <si>
    <t>Long-term &amp; Short-term</t>
  </si>
  <si>
    <t>2nd</t>
  </si>
  <si>
    <t>Construction period</t>
  </si>
  <si>
    <t>Sales period</t>
  </si>
  <si>
    <t>Construction &amp; Sales periods</t>
  </si>
  <si>
    <t>Construction Loan</t>
  </si>
  <si>
    <t>Accrual Rate</t>
  </si>
  <si>
    <t>Time (years)</t>
  </si>
  <si>
    <t>Interest Cost</t>
  </si>
  <si>
    <t>TOTAL</t>
  </si>
  <si>
    <t>Total Unit Distribution</t>
  </si>
  <si>
    <t xml:space="preserve">Affordability </t>
  </si>
  <si>
    <t># of Units</t>
  </si>
  <si>
    <t># of Rooms</t>
  </si>
  <si>
    <t>Average nsf</t>
  </si>
  <si>
    <t>#Market Units</t>
  </si>
  <si>
    <t># Affordable Units</t>
  </si>
  <si>
    <t>One Bedroom</t>
  </si>
  <si>
    <t xml:space="preserve">Two Bedrooms </t>
  </si>
  <si>
    <t>Three Bedrooms</t>
  </si>
  <si>
    <t>Super's Apartment</t>
  </si>
  <si>
    <t>% of Total less Super</t>
  </si>
  <si>
    <t>Total Residential NSF:</t>
  </si>
  <si>
    <t>SF DISTRBUTION</t>
  </si>
  <si>
    <t>gsf</t>
  </si>
  <si>
    <t>Project Income</t>
  </si>
  <si>
    <t>Commercial Income:</t>
  </si>
  <si>
    <t xml:space="preserve">Commercial </t>
  </si>
  <si>
    <t>Per unit/per year</t>
  </si>
  <si>
    <t>Total Ancillary &amp; Commercial Income:</t>
  </si>
  <si>
    <t>Residential Income:</t>
  </si>
  <si>
    <t>2008 HUD IL</t>
  </si>
  <si>
    <t>% Down</t>
  </si>
  <si>
    <t>max gross monthly housing cost</t>
  </si>
  <si>
    <t>Estimated 
unit size</t>
  </si>
  <si>
    <t>Monthly Maint</t>
  </si>
  <si>
    <t>Annual Maint</t>
  </si>
  <si>
    <t>Avail to Mort</t>
  </si>
  <si>
    <t>Est Mort Amt</t>
  </si>
  <si>
    <t>Est Sales Price</t>
  </si>
  <si>
    <t>Subotal</t>
  </si>
  <si>
    <t>estimated 
unit size</t>
  </si>
  <si>
    <t>Total Annual Maintance:</t>
  </si>
  <si>
    <t>Total Sales Proceeds:</t>
  </si>
  <si>
    <t>Total Project Income:</t>
  </si>
  <si>
    <t xml:space="preserve">     PER rm/du</t>
  </si>
  <si>
    <t>/rm</t>
  </si>
  <si>
    <t xml:space="preserve">Legal and </t>
  </si>
  <si>
    <t>/Bldg</t>
  </si>
  <si>
    <t>of EGI</t>
  </si>
  <si>
    <t>du</t>
  </si>
  <si>
    <t>Other Expenses (Specify):</t>
  </si>
  <si>
    <t>Operating Reserve</t>
  </si>
  <si>
    <t xml:space="preserve">Bldg Reserve </t>
  </si>
  <si>
    <t>Based on Net Available for Debt Service and land taxes</t>
  </si>
  <si>
    <t>Determination of maximum insurable mortgage</t>
  </si>
  <si>
    <t>INCOME</t>
  </si>
  <si>
    <t>Amount based on debt service ratio</t>
  </si>
  <si>
    <t>Annual Maintenance</t>
  </si>
  <si>
    <t xml:space="preserve">     Less Residential Vac </t>
  </si>
  <si>
    <t xml:space="preserve">Loan amortization years: </t>
  </si>
  <si>
    <t xml:space="preserve">Mortgage Interest rate </t>
  </si>
  <si>
    <t xml:space="preserve">Parking </t>
  </si>
  <si>
    <t>Ancillary/Laundry</t>
  </si>
  <si>
    <t xml:space="preserve">     Less Parking Vac </t>
  </si>
  <si>
    <t>Max Total Supportable First Mortgage based on DCR Minimum (1.05)</t>
  </si>
  <si>
    <t xml:space="preserve">     Less Comm. Vac. </t>
  </si>
  <si>
    <t>Max Total Supportable First Mortgage based on Income to expense Minimum (1.00)</t>
  </si>
  <si>
    <t xml:space="preserve">     Less Community Vac. </t>
  </si>
  <si>
    <t xml:space="preserve">     Less Laundry Vac. </t>
  </si>
  <si>
    <t xml:space="preserve">Max Total Supportable First Mortgage </t>
  </si>
  <si>
    <t>Max Second Mortgage</t>
  </si>
  <si>
    <t xml:space="preserve">    Gross Effective Income</t>
  </si>
  <si>
    <t>Max Total Combined Debt</t>
  </si>
  <si>
    <t xml:space="preserve"> 2nd Mortgage Interest Rate</t>
  </si>
  <si>
    <t>Constant on 2nd Mortgage</t>
  </si>
  <si>
    <t>subsidy/du</t>
  </si>
  <si>
    <t>First Motgage</t>
  </si>
  <si>
    <t>Net Available for Debt Service @ 1.05 DCR</t>
  </si>
  <si>
    <t xml:space="preserve">Net Available for Debt Service @ 1.00 Income to Expense </t>
  </si>
  <si>
    <t>Income to Expense Ratio</t>
  </si>
  <si>
    <t>Amount Amortized</t>
  </si>
  <si>
    <t>165% of AMI</t>
  </si>
  <si>
    <t>Annual Rent/SF</t>
  </si>
  <si>
    <t>Net Sq. Ft.</t>
  </si>
  <si>
    <t>wtd. Rent per sf</t>
  </si>
  <si>
    <t>specify if 421-a</t>
  </si>
  <si>
    <t>120% of AMI</t>
  </si>
  <si>
    <t>140% of AMI</t>
  </si>
  <si>
    <t>Commercial Rent psf</t>
  </si>
  <si>
    <t>Community Facility Rent psf</t>
  </si>
  <si>
    <r>
      <t xml:space="preserve">Market Rent psf </t>
    </r>
    <r>
      <rPr>
        <sz val="9"/>
        <rFont val="Arial"/>
        <family val="2"/>
      </rPr>
      <t>(wtd.)</t>
    </r>
  </si>
  <si>
    <t>Financing</t>
  </si>
  <si>
    <t>UNITS AND INCOME</t>
  </si>
  <si>
    <t>OWNERSHIP - UNITS &amp; INCOME</t>
  </si>
  <si>
    <t>Ownership = Maintenance and Operating Expenses</t>
  </si>
  <si>
    <t>The ownership worksheets, which are located at the end of this workbook, are only for a proposed additional scenario.  Be sure to update the Summary Worksheet accordingly.</t>
  </si>
  <si>
    <t>Willets Point Phase 1 Development</t>
  </si>
  <si>
    <r>
      <t xml:space="preserve">Please complete this </t>
    </r>
    <r>
      <rPr>
        <i/>
        <sz val="12"/>
        <rFont val="Arial"/>
        <family val="2"/>
      </rPr>
      <t>pro forma</t>
    </r>
    <r>
      <rPr>
        <sz val="12"/>
        <rFont val="Arial"/>
        <family val="2"/>
      </rPr>
      <t xml:space="preserve"> for the Willets Point Phase 1 Development project  Fill in the cells shaded blue.  Keep cells linked and maintain calculations.  If you modify given assumptions, please clearly note the changes and update the worksheets.</t>
    </r>
  </si>
  <si>
    <r>
      <t>Please be sure the Summary Worksheet accuratly reflects each item.  If anything needs to be changed manually, please do so</t>
    </r>
    <r>
      <rPr>
        <sz val="12"/>
        <color indexed="8"/>
        <rFont val="Arial"/>
        <family val="2"/>
      </rPr>
      <t xml:space="preserve"> and note the changes</t>
    </r>
    <r>
      <rPr>
        <sz val="12"/>
        <rFont val="Arial"/>
        <family val="0"/>
      </rPr>
      <t>.  The grayed line items are for a second scenario that may include an ownership component. Please also copy and add tabs as required for additional buildings.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</si>
</sst>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dd\-mmm\-yy_)"/>
    <numFmt numFmtId="167" formatCode="0.000000%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0.0"/>
    <numFmt numFmtId="172" formatCode="0.000%"/>
    <numFmt numFmtId="173" formatCode="_(* #,##0_);_(* \(#,##0\);_(* &quot;-&quot;??_);_(@_)"/>
    <numFmt numFmtId="174" formatCode="#,##0.000_);\(#,##0.000\)"/>
    <numFmt numFmtId="175" formatCode="_(* #,##0.0_);_(* \(#,##0.0\);_(* &quot;-&quot;??_);_(@_)"/>
    <numFmt numFmtId="176" formatCode="_(* #,##0.0_);_(* \(#,##0.0\);_(* &quot;-&quot;?_);_(@_)"/>
    <numFmt numFmtId="177" formatCode="_(&quot;$&quot;* #,##0.0_);_(&quot;$&quot;* \(#,##0.0\);_(&quot;$&quot;* &quot;-&quot;??_);_(@_)"/>
    <numFmt numFmtId="178" formatCode="0.0000%"/>
    <numFmt numFmtId="179" formatCode="&quot;$&quot;#,##0.00"/>
    <numFmt numFmtId="180" formatCode="0.000"/>
    <numFmt numFmtId="181" formatCode="[$$-409]#,##0.00"/>
    <numFmt numFmtId="182" formatCode="&quot;$&quot;#,##0;[Red]&quot;$&quot;#,##0"/>
    <numFmt numFmtId="183" formatCode="#,##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00_);_(* \(#,##0.000\);_(* &quot;-&quot;??_);_(@_)"/>
    <numFmt numFmtId="190" formatCode="&quot;$&quot;#,##0.0_);\(&quot;$&quot;#,##0.0\)"/>
    <numFmt numFmtId="191" formatCode="&quot;$&quot;#,##0.000"/>
    <numFmt numFmtId="192" formatCode="&quot;$&quot;#,##0.0"/>
    <numFmt numFmtId="193" formatCode="0.000000000"/>
  </numFmts>
  <fonts count="102">
    <font>
      <sz val="12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8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SWISS"/>
      <family val="2"/>
    </font>
    <font>
      <sz val="12"/>
      <color indexed="8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sz val="10"/>
      <name val="Arial MT"/>
      <family val="0"/>
    </font>
    <font>
      <u val="single"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12"/>
      <name val="Arial"/>
      <family val="2"/>
    </font>
    <font>
      <i/>
      <sz val="12"/>
      <color indexed="8"/>
      <name val="Arial"/>
      <family val="2"/>
    </font>
    <font>
      <u val="singleAccounting"/>
      <sz val="12"/>
      <color indexed="8"/>
      <name val="Arial"/>
      <family val="2"/>
    </font>
    <font>
      <sz val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10"/>
      <color indexed="55"/>
      <name val="Arial"/>
      <family val="0"/>
    </font>
    <font>
      <b/>
      <i/>
      <u val="single"/>
      <sz val="10"/>
      <name val="Arial"/>
      <family val="2"/>
    </font>
    <font>
      <b/>
      <sz val="10"/>
      <color indexed="55"/>
      <name val="Arial"/>
      <family val="2"/>
    </font>
    <font>
      <i/>
      <sz val="10"/>
      <color indexed="55"/>
      <name val="Arial"/>
      <family val="2"/>
    </font>
    <font>
      <i/>
      <u val="single"/>
      <sz val="10"/>
      <name val="Arial"/>
      <family val="2"/>
    </font>
    <font>
      <i/>
      <u val="singleAccounting"/>
      <sz val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sz val="11"/>
      <color indexed="12"/>
      <name val="Courier"/>
      <family val="0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0"/>
    </font>
    <font>
      <b/>
      <i/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SWISS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 MT"/>
      <family val="0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sz val="11"/>
      <color indexed="8"/>
      <name val="SWISS"/>
      <family val="2"/>
    </font>
    <font>
      <sz val="11"/>
      <color indexed="9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4" fillId="29" borderId="1" applyNumberFormat="0" applyAlignment="0" applyProtection="0"/>
    <xf numFmtId="0" fontId="95" fillId="0" borderId="6" applyNumberFormat="0" applyFill="0" applyAlignment="0" applyProtection="0"/>
    <xf numFmtId="0" fontId="96" fillId="30" borderId="0" applyNumberFormat="0" applyBorder="0" applyAlignment="0" applyProtection="0"/>
    <xf numFmtId="37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7" fillId="26" borderId="8" applyNumberFormat="0" applyAlignment="0" applyProtection="0"/>
    <xf numFmtId="9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139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5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10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/>
    </xf>
    <xf numFmtId="5" fontId="3" fillId="0" borderId="10" xfId="0" applyNumberFormat="1" applyFont="1" applyBorder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168" fontId="7" fillId="0" borderId="1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5" fontId="0" fillId="0" borderId="0" xfId="0" applyNumberFormat="1" applyAlignment="1">
      <alignment/>
    </xf>
    <xf numFmtId="44" fontId="12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0" fontId="7" fillId="0" borderId="10" xfId="0" applyNumberFormat="1" applyFont="1" applyBorder="1" applyAlignment="1" applyProtection="1">
      <alignment/>
      <protection/>
    </xf>
    <xf numFmtId="5" fontId="15" fillId="0" borderId="13" xfId="0" applyNumberFormat="1" applyFont="1" applyBorder="1" applyAlignment="1" applyProtection="1">
      <alignment/>
      <protection/>
    </xf>
    <xf numFmtId="44" fontId="12" fillId="0" borderId="0" xfId="44" applyFont="1" applyAlignment="1">
      <alignment/>
    </xf>
    <xf numFmtId="0" fontId="16" fillId="0" borderId="0" xfId="0" applyFont="1" applyAlignment="1" applyProtection="1">
      <alignment/>
      <protection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 applyProtection="1">
      <alignment horizontal="centerContinuous"/>
      <protection/>
    </xf>
    <xf numFmtId="170" fontId="17" fillId="0" borderId="0" xfId="0" applyNumberFormat="1" applyFont="1" applyAlignment="1" applyProtection="1">
      <alignment horizontal="centerContinuous"/>
      <protection/>
    </xf>
    <xf numFmtId="17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5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 locked="0"/>
    </xf>
    <xf numFmtId="10" fontId="8" fillId="0" borderId="0" xfId="0" applyNumberFormat="1" applyFont="1" applyAlignment="1" applyProtection="1">
      <alignment/>
      <protection locked="0"/>
    </xf>
    <xf numFmtId="9" fontId="8" fillId="0" borderId="0" xfId="0" applyNumberFormat="1" applyFont="1" applyAlignment="1" applyProtection="1">
      <alignment/>
      <protection locked="0"/>
    </xf>
    <xf numFmtId="7" fontId="8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0" fontId="7" fillId="0" borderId="0" xfId="0" applyNumberFormat="1" applyFont="1" applyAlignment="1" applyProtection="1">
      <alignment horizontal="centerContinuous"/>
      <protection/>
    </xf>
    <xf numFmtId="10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9" fontId="3" fillId="0" borderId="0" xfId="0" applyNumberFormat="1" applyFont="1" applyAlignment="1" applyProtection="1">
      <alignment/>
      <protection/>
    </xf>
    <xf numFmtId="7" fontId="0" fillId="0" borderId="0" xfId="0" applyNumberFormat="1" applyFont="1" applyAlignment="1">
      <alignment/>
    </xf>
    <xf numFmtId="0" fontId="14" fillId="0" borderId="0" xfId="0" applyFont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70" fontId="3" fillId="0" borderId="0" xfId="0" applyNumberFormat="1" applyFont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/>
    </xf>
    <xf numFmtId="5" fontId="3" fillId="0" borderId="13" xfId="0" applyNumberFormat="1" applyFont="1" applyBorder="1" applyAlignment="1" applyProtection="1">
      <alignment/>
      <protection/>
    </xf>
    <xf numFmtId="10" fontId="3" fillId="0" borderId="13" xfId="0" applyNumberFormat="1" applyFont="1" applyBorder="1" applyAlignment="1" applyProtection="1">
      <alignment/>
      <protection/>
    </xf>
    <xf numFmtId="10" fontId="3" fillId="0" borderId="10" xfId="0" applyNumberFormat="1" applyFont="1" applyBorder="1" applyAlignment="1" applyProtection="1">
      <alignment/>
      <protection/>
    </xf>
    <xf numFmtId="170" fontId="0" fillId="0" borderId="0" xfId="0" applyNumberFormat="1" applyFont="1" applyAlignment="1">
      <alignment/>
    </xf>
    <xf numFmtId="168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horizontal="center"/>
      <protection/>
    </xf>
    <xf numFmtId="10" fontId="3" fillId="0" borderId="13" xfId="64" applyNumberFormat="1" applyFont="1" applyBorder="1" applyAlignment="1" applyProtection="1">
      <alignment/>
      <protection/>
    </xf>
    <xf numFmtId="5" fontId="3" fillId="0" borderId="16" xfId="0" applyNumberFormat="1" applyFont="1" applyBorder="1" applyAlignment="1" applyProtection="1">
      <alignment/>
      <protection/>
    </xf>
    <xf numFmtId="10" fontId="3" fillId="0" borderId="0" xfId="64" applyNumberFormat="1" applyFont="1" applyAlignment="1" applyProtection="1">
      <alignment/>
      <protection/>
    </xf>
    <xf numFmtId="3" fontId="12" fillId="0" borderId="0" xfId="0" applyNumberFormat="1" applyFont="1" applyAlignment="1">
      <alignment/>
    </xf>
    <xf numFmtId="5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5" fontId="0" fillId="0" borderId="0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10" fontId="2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9" fontId="0" fillId="0" borderId="0" xfId="64" applyFont="1" applyBorder="1" applyAlignment="1">
      <alignment/>
    </xf>
    <xf numFmtId="10" fontId="0" fillId="0" borderId="0" xfId="64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64" applyNumberFormat="1" applyFont="1" applyBorder="1" applyAlignment="1" applyProtection="1">
      <alignment/>
      <protection/>
    </xf>
    <xf numFmtId="44" fontId="0" fillId="0" borderId="0" xfId="44" applyFont="1" applyBorder="1" applyAlignment="1">
      <alignment/>
    </xf>
    <xf numFmtId="168" fontId="0" fillId="0" borderId="0" xfId="64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5" fontId="0" fillId="0" borderId="15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37" fontId="10" fillId="0" borderId="0" xfId="0" applyNumberFormat="1" applyFont="1" applyAlignment="1" applyProtection="1">
      <alignment/>
      <protection/>
    </xf>
    <xf numFmtId="10" fontId="0" fillId="32" borderId="17" xfId="0" applyNumberFormat="1" applyFont="1" applyFill="1" applyBorder="1" applyAlignment="1" applyProtection="1">
      <alignment/>
      <protection/>
    </xf>
    <xf numFmtId="0" fontId="0" fillId="32" borderId="17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7" fontId="12" fillId="0" borderId="0" xfId="0" applyNumberFormat="1" applyFont="1" applyAlignment="1">
      <alignment/>
    </xf>
    <xf numFmtId="10" fontId="0" fillId="32" borderId="17" xfId="44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39" fontId="3" fillId="0" borderId="0" xfId="0" applyNumberFormat="1" applyFont="1" applyAlignment="1" applyProtection="1">
      <alignment horizontal="left"/>
      <protection/>
    </xf>
    <xf numFmtId="10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7" fontId="3" fillId="0" borderId="0" xfId="0" applyNumberFormat="1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7" fontId="1" fillId="0" borderId="0" xfId="57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9" fontId="0" fillId="32" borderId="17" xfId="64" applyFont="1" applyFill="1" applyBorder="1" applyAlignment="1">
      <alignment/>
    </xf>
    <xf numFmtId="0" fontId="12" fillId="0" borderId="0" xfId="0" applyFont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4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/>
      <protection/>
    </xf>
    <xf numFmtId="10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5" fontId="12" fillId="0" borderId="10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10" fontId="0" fillId="32" borderId="17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Border="1" applyAlignment="1" applyProtection="1" quotePrefix="1">
      <alignment horizontal="right"/>
      <protection hidden="1"/>
    </xf>
    <xf numFmtId="1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41" fontId="3" fillId="0" borderId="12" xfId="0" applyNumberFormat="1" applyFont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12" xfId="0" applyNumberFormat="1" applyFont="1" applyFill="1" applyBorder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"/>
      <protection/>
    </xf>
    <xf numFmtId="168" fontId="3" fillId="0" borderId="13" xfId="64" applyNumberFormat="1" applyFont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 applyProtection="1">
      <alignment horizontal="right"/>
      <protection/>
    </xf>
    <xf numFmtId="41" fontId="14" fillId="0" borderId="0" xfId="0" applyNumberFormat="1" applyFont="1" applyFill="1" applyAlignment="1" applyProtection="1">
      <alignment horizontal="right"/>
      <protection/>
    </xf>
    <xf numFmtId="5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5" fontId="3" fillId="0" borderId="0" xfId="0" applyNumberFormat="1" applyFont="1" applyFill="1" applyAlignment="1" applyProtection="1">
      <alignment horizontal="right"/>
      <protection/>
    </xf>
    <xf numFmtId="5" fontId="8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169" fontId="3" fillId="0" borderId="0" xfId="44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5" fontId="2" fillId="0" borderId="0" xfId="0" applyNumberFormat="1" applyFont="1" applyFill="1" applyBorder="1" applyAlignment="1" applyProtection="1">
      <alignment/>
      <protection/>
    </xf>
    <xf numFmtId="173" fontId="0" fillId="0" borderId="0" xfId="42" applyNumberFormat="1" applyFont="1" applyAlignment="1">
      <alignment/>
    </xf>
    <xf numFmtId="173" fontId="3" fillId="0" borderId="13" xfId="42" applyNumberFormat="1" applyFont="1" applyBorder="1" applyAlignment="1" applyProtection="1">
      <alignment/>
      <protection/>
    </xf>
    <xf numFmtId="173" fontId="3" fillId="0" borderId="0" xfId="42" applyNumberFormat="1" applyFont="1" applyAlignment="1" applyProtection="1">
      <alignment/>
      <protection/>
    </xf>
    <xf numFmtId="173" fontId="5" fillId="0" borderId="0" xfId="42" applyNumberFormat="1" applyFont="1" applyAlignment="1" applyProtection="1">
      <alignment/>
      <protection/>
    </xf>
    <xf numFmtId="173" fontId="7" fillId="0" borderId="0" xfId="42" applyNumberFormat="1" applyFont="1" applyAlignment="1" applyProtection="1">
      <alignment/>
      <protection/>
    </xf>
    <xf numFmtId="8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3" fontId="3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>
      <alignment/>
    </xf>
    <xf numFmtId="173" fontId="12" fillId="0" borderId="0" xfId="42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7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7" fontId="0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0" fontId="0" fillId="0" borderId="0" xfId="0" applyNumberFormat="1" applyFont="1" applyFill="1" applyAlignment="1">
      <alignment/>
    </xf>
    <xf numFmtId="0" fontId="10" fillId="0" borderId="0" xfId="0" applyFont="1" applyBorder="1" applyAlignment="1" applyProtection="1">
      <alignment/>
      <protection/>
    </xf>
    <xf numFmtId="9" fontId="10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9" fontId="0" fillId="0" borderId="0" xfId="0" applyNumberFormat="1" applyBorder="1" applyAlignment="1">
      <alignment/>
    </xf>
    <xf numFmtId="169" fontId="3" fillId="0" borderId="0" xfId="44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10" fontId="7" fillId="0" borderId="20" xfId="0" applyNumberFormat="1" applyFont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5" fontId="1" fillId="0" borderId="20" xfId="0" applyNumberFormat="1" applyFont="1" applyBorder="1" applyAlignment="1" applyProtection="1">
      <alignment/>
      <protection locked="0"/>
    </xf>
    <xf numFmtId="10" fontId="7" fillId="0" borderId="20" xfId="0" applyNumberFormat="1" applyFont="1" applyBorder="1" applyAlignment="1" applyProtection="1">
      <alignment horizontal="center"/>
      <protection/>
    </xf>
    <xf numFmtId="5" fontId="3" fillId="0" borderId="19" xfId="0" applyNumberFormat="1" applyFont="1" applyFill="1" applyBorder="1" applyAlignment="1" applyProtection="1">
      <alignment/>
      <protection/>
    </xf>
    <xf numFmtId="5" fontId="1" fillId="0" borderId="19" xfId="0" applyNumberFormat="1" applyFont="1" applyBorder="1" applyAlignment="1" applyProtection="1">
      <alignment/>
      <protection locked="0"/>
    </xf>
    <xf numFmtId="10" fontId="7" fillId="0" borderId="21" xfId="0" applyNumberFormat="1" applyFont="1" applyBorder="1" applyAlignment="1" applyProtection="1">
      <alignment/>
      <protection/>
    </xf>
    <xf numFmtId="10" fontId="7" fillId="0" borderId="16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 locked="0"/>
    </xf>
    <xf numFmtId="10" fontId="7" fillId="0" borderId="10" xfId="0" applyNumberFormat="1" applyFont="1" applyBorder="1" applyAlignment="1" applyProtection="1">
      <alignment horizontal="fill"/>
      <protection locked="0"/>
    </xf>
    <xf numFmtId="10" fontId="7" fillId="0" borderId="21" xfId="0" applyNumberFormat="1" applyFont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/>
      <protection/>
    </xf>
    <xf numFmtId="5" fontId="1" fillId="0" borderId="23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0" fontId="7" fillId="0" borderId="0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left"/>
      <protection/>
    </xf>
    <xf numFmtId="5" fontId="12" fillId="0" borderId="0" xfId="0" applyNumberFormat="1" applyFont="1" applyBorder="1" applyAlignment="1">
      <alignment/>
    </xf>
    <xf numFmtId="5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37" fontId="3" fillId="0" borderId="0" xfId="0" applyNumberFormat="1" applyFont="1" applyFill="1" applyBorder="1" applyAlignment="1" applyProtection="1">
      <alignment wrapText="1"/>
      <protection/>
    </xf>
    <xf numFmtId="169" fontId="0" fillId="0" borderId="0" xfId="44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170" fontId="3" fillId="0" borderId="20" xfId="0" applyNumberFormat="1" applyFont="1" applyFill="1" applyBorder="1" applyAlignment="1" applyProtection="1">
      <alignment horizontal="centerContinuous"/>
      <protection/>
    </xf>
    <xf numFmtId="3" fontId="12" fillId="0" borderId="20" xfId="0" applyNumberFormat="1" applyFont="1" applyFill="1" applyBorder="1" applyAlignment="1">
      <alignment/>
    </xf>
    <xf numFmtId="173" fontId="12" fillId="0" borderId="2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22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1" fillId="0" borderId="13" xfId="0" applyNumberFormat="1" applyFont="1" applyFill="1" applyBorder="1" applyAlignment="1">
      <alignment/>
    </xf>
    <xf numFmtId="170" fontId="3" fillId="0" borderId="13" xfId="0" applyNumberFormat="1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centerContinuous"/>
      <protection/>
    </xf>
    <xf numFmtId="170" fontId="3" fillId="0" borderId="19" xfId="0" applyNumberFormat="1" applyFont="1" applyFill="1" applyBorder="1" applyAlignment="1" applyProtection="1">
      <alignment horizontal="centerContinuous"/>
      <protection/>
    </xf>
    <xf numFmtId="3" fontId="12" fillId="0" borderId="19" xfId="0" applyNumberFormat="1" applyFont="1" applyFill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right" wrapText="1"/>
      <protection/>
    </xf>
    <xf numFmtId="37" fontId="23" fillId="0" borderId="0" xfId="0" applyNumberFormat="1" applyFont="1" applyFill="1" applyBorder="1" applyAlignment="1">
      <alignment/>
    </xf>
    <xf numFmtId="173" fontId="23" fillId="0" borderId="0" xfId="42" applyNumberFormat="1" applyFont="1" applyFill="1" applyBorder="1" applyAlignment="1">
      <alignment/>
    </xf>
    <xf numFmtId="39" fontId="3" fillId="0" borderId="10" xfId="0" applyNumberFormat="1" applyFont="1" applyBorder="1" applyAlignment="1" applyProtection="1">
      <alignment/>
      <protection/>
    </xf>
    <xf numFmtId="5" fontId="2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5" fontId="2" fillId="0" borderId="10" xfId="0" applyNumberFormat="1" applyFont="1" applyBorder="1" applyAlignment="1" applyProtection="1">
      <alignment horizontal="right"/>
      <protection/>
    </xf>
    <xf numFmtId="5" fontId="2" fillId="0" borderId="10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5" fontId="3" fillId="0" borderId="1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 horizontal="left" indent="1"/>
      <protection/>
    </xf>
    <xf numFmtId="37" fontId="3" fillId="0" borderId="13" xfId="0" applyNumberFormat="1" applyFont="1" applyBorder="1" applyAlignment="1" applyProtection="1">
      <alignment horizontal="left" indent="2"/>
      <protection/>
    </xf>
    <xf numFmtId="0" fontId="21" fillId="0" borderId="13" xfId="0" applyFont="1" applyBorder="1" applyAlignment="1" applyProtection="1">
      <alignment horizontal="left" indent="1"/>
      <protection/>
    </xf>
    <xf numFmtId="0" fontId="0" fillId="0" borderId="13" xfId="0" applyFont="1" applyBorder="1" applyAlignment="1">
      <alignment horizontal="left" indent="1"/>
    </xf>
    <xf numFmtId="37" fontId="3" fillId="0" borderId="13" xfId="0" applyNumberFormat="1" applyFont="1" applyFill="1" applyBorder="1" applyAlignment="1" applyProtection="1">
      <alignment horizontal="left" indent="2"/>
      <protection/>
    </xf>
    <xf numFmtId="37" fontId="21" fillId="0" borderId="13" xfId="0" applyNumberFormat="1" applyFont="1" applyBorder="1" applyAlignment="1" applyProtection="1">
      <alignment horizontal="left" indent="1"/>
      <protection/>
    </xf>
    <xf numFmtId="37" fontId="2" fillId="0" borderId="13" xfId="0" applyNumberFormat="1" applyFont="1" applyBorder="1" applyAlignment="1" applyProtection="1">
      <alignment horizontal="left" indent="1"/>
      <protection/>
    </xf>
    <xf numFmtId="37" fontId="3" fillId="0" borderId="13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13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5" fontId="3" fillId="0" borderId="16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horizontal="right"/>
    </xf>
    <xf numFmtId="10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right"/>
      <protection/>
    </xf>
    <xf numFmtId="2" fontId="0" fillId="0" borderId="19" xfId="0" applyNumberFormat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67" fontId="3" fillId="0" borderId="2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69" fontId="3" fillId="32" borderId="24" xfId="44" applyNumberFormat="1" applyFont="1" applyFill="1" applyBorder="1" applyAlignment="1" applyProtection="1">
      <alignment/>
      <protection/>
    </xf>
    <xf numFmtId="169" fontId="3" fillId="32" borderId="25" xfId="44" applyNumberFormat="1" applyFont="1" applyFill="1" applyBorder="1" applyAlignment="1" applyProtection="1">
      <alignment/>
      <protection/>
    </xf>
    <xf numFmtId="9" fontId="3" fillId="32" borderId="24" xfId="64" applyNumberFormat="1" applyFont="1" applyFill="1" applyBorder="1" applyAlignment="1" applyProtection="1">
      <alignment/>
      <protection/>
    </xf>
    <xf numFmtId="9" fontId="3" fillId="32" borderId="25" xfId="0" applyNumberFormat="1" applyFont="1" applyFill="1" applyBorder="1" applyAlignment="1" applyProtection="1">
      <alignment/>
      <protection/>
    </xf>
    <xf numFmtId="2" fontId="0" fillId="32" borderId="25" xfId="0" applyNumberFormat="1" applyFill="1" applyBorder="1" applyAlignment="1">
      <alignment/>
    </xf>
    <xf numFmtId="2" fontId="0" fillId="32" borderId="26" xfId="0" applyNumberForma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169" fontId="0" fillId="0" borderId="0" xfId="44" applyNumberFormat="1" applyFont="1" applyBorder="1" applyAlignment="1">
      <alignment/>
    </xf>
    <xf numFmtId="5" fontId="0" fillId="0" borderId="0" xfId="0" applyNumberFormat="1" applyBorder="1" applyAlignment="1">
      <alignment/>
    </xf>
    <xf numFmtId="0" fontId="10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5" fontId="3" fillId="0" borderId="13" xfId="0" applyNumberFormat="1" applyFont="1" applyBorder="1" applyAlignment="1" applyProtection="1">
      <alignment/>
      <protection/>
    </xf>
    <xf numFmtId="7" fontId="3" fillId="0" borderId="13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173" fontId="0" fillId="0" borderId="0" xfId="42" applyNumberFormat="1" applyFont="1" applyBorder="1" applyAlignment="1">
      <alignment/>
    </xf>
    <xf numFmtId="37" fontId="3" fillId="0" borderId="12" xfId="0" applyNumberFormat="1" applyFont="1" applyBorder="1" applyAlignment="1" applyProtection="1">
      <alignment horizontal="left" indent="2"/>
      <protection/>
    </xf>
    <xf numFmtId="10" fontId="3" fillId="0" borderId="0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69" fontId="3" fillId="0" borderId="0" xfId="44" applyNumberFormat="1" applyFont="1" applyAlignment="1" applyProtection="1">
      <alignment horizontal="right"/>
      <protection/>
    </xf>
    <xf numFmtId="169" fontId="0" fillId="0" borderId="0" xfId="44" applyNumberFormat="1" applyFont="1" applyAlignment="1" applyProtection="1">
      <alignment horizontal="right"/>
      <protection/>
    </xf>
    <xf numFmtId="169" fontId="0" fillId="0" borderId="0" xfId="44" applyNumberFormat="1" applyFont="1" applyAlignment="1">
      <alignment horizontal="right"/>
    </xf>
    <xf numFmtId="169" fontId="0" fillId="0" borderId="0" xfId="44" applyNumberFormat="1" applyFont="1" applyAlignment="1">
      <alignment horizontal="right"/>
    </xf>
    <xf numFmtId="0" fontId="3" fillId="0" borderId="10" xfId="0" applyFont="1" applyBorder="1" applyAlignment="1" applyProtection="1">
      <alignment horizontal="right"/>
      <protection/>
    </xf>
    <xf numFmtId="164" fontId="3" fillId="32" borderId="25" xfId="0" applyNumberFormat="1" applyFont="1" applyFill="1" applyBorder="1" applyAlignment="1" applyProtection="1">
      <alignment/>
      <protection/>
    </xf>
    <xf numFmtId="37" fontId="3" fillId="32" borderId="25" xfId="0" applyNumberFormat="1" applyFont="1" applyFill="1" applyBorder="1" applyAlignment="1" applyProtection="1">
      <alignment horizontal="right"/>
      <protection/>
    </xf>
    <xf numFmtId="168" fontId="3" fillId="32" borderId="25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3" fillId="0" borderId="27" xfId="0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12" fillId="0" borderId="0" xfId="64" applyFont="1" applyFill="1" applyBorder="1" applyAlignment="1">
      <alignment/>
    </xf>
    <xf numFmtId="173" fontId="12" fillId="0" borderId="19" xfId="42" applyNumberFormat="1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5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9" fontId="3" fillId="0" borderId="0" xfId="0" applyNumberFormat="1" applyFont="1" applyFill="1" applyBorder="1" applyAlignment="1" applyProtection="1">
      <alignment wrapText="1"/>
      <protection/>
    </xf>
    <xf numFmtId="169" fontId="2" fillId="0" borderId="0" xfId="0" applyNumberFormat="1" applyFont="1" applyFill="1" applyBorder="1" applyAlignment="1" applyProtection="1">
      <alignment/>
      <protection/>
    </xf>
    <xf numFmtId="0" fontId="3" fillId="32" borderId="25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5" fontId="3" fillId="32" borderId="25" xfId="0" applyNumberFormat="1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10" fontId="0" fillId="0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4" fillId="0" borderId="12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4" fillId="0" borderId="30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5" fillId="0" borderId="24" xfId="0" applyFont="1" applyBorder="1" applyAlignment="1" applyProtection="1">
      <alignment/>
      <protection/>
    </xf>
    <xf numFmtId="41" fontId="2" fillId="0" borderId="24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2" borderId="17" xfId="0" applyFill="1" applyBorder="1" applyAlignment="1">
      <alignment/>
    </xf>
    <xf numFmtId="0" fontId="0" fillId="0" borderId="31" xfId="0" applyBorder="1" applyAlignment="1">
      <alignment/>
    </xf>
    <xf numFmtId="0" fontId="12" fillId="0" borderId="32" xfId="0" applyFont="1" applyBorder="1" applyAlignment="1">
      <alignment horizontal="center"/>
    </xf>
    <xf numFmtId="173" fontId="12" fillId="0" borderId="32" xfId="42" applyNumberFormat="1" applyFont="1" applyBorder="1" applyAlignment="1">
      <alignment/>
    </xf>
    <xf numFmtId="0" fontId="12" fillId="0" borderId="33" xfId="0" applyFont="1" applyBorder="1" applyAlignment="1">
      <alignment/>
    </xf>
    <xf numFmtId="0" fontId="26" fillId="0" borderId="29" xfId="0" applyFont="1" applyBorder="1" applyAlignment="1">
      <alignment/>
    </xf>
    <xf numFmtId="0" fontId="0" fillId="0" borderId="29" xfId="0" applyBorder="1" applyAlignment="1">
      <alignment/>
    </xf>
    <xf numFmtId="173" fontId="26" fillId="0" borderId="0" xfId="42" applyNumberFormat="1" applyFont="1" applyBorder="1" applyAlignment="1">
      <alignment/>
    </xf>
    <xf numFmtId="0" fontId="12" fillId="0" borderId="29" xfId="0" applyFont="1" applyBorder="1" applyAlignment="1">
      <alignment/>
    </xf>
    <xf numFmtId="0" fontId="26" fillId="0" borderId="29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0" fillId="0" borderId="15" xfId="0" applyBorder="1" applyAlignment="1">
      <alignment horizontal="center"/>
    </xf>
    <xf numFmtId="173" fontId="0" fillId="0" borderId="35" xfId="42" applyNumberFormat="1" applyFont="1" applyBorder="1" applyAlignment="1">
      <alignment/>
    </xf>
    <xf numFmtId="9" fontId="0" fillId="0" borderId="28" xfId="64" applyFont="1" applyBorder="1" applyAlignment="1">
      <alignment/>
    </xf>
    <xf numFmtId="9" fontId="0" fillId="0" borderId="28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9" fontId="0" fillId="0" borderId="35" xfId="64" applyFont="1" applyBorder="1" applyAlignment="1">
      <alignment/>
    </xf>
    <xf numFmtId="173" fontId="0" fillId="0" borderId="28" xfId="0" applyNumberFormat="1" applyBorder="1" applyAlignment="1">
      <alignment/>
    </xf>
    <xf numFmtId="9" fontId="0" fillId="32" borderId="36" xfId="0" applyNumberFormat="1" applyFill="1" applyBorder="1" applyAlignment="1">
      <alignment/>
    </xf>
    <xf numFmtId="173" fontId="12" fillId="0" borderId="15" xfId="42" applyNumberFormat="1" applyFont="1" applyBorder="1" applyAlignment="1">
      <alignment/>
    </xf>
    <xf numFmtId="0" fontId="2" fillId="32" borderId="25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3" fontId="2" fillId="0" borderId="0" xfId="0" applyNumberFormat="1" applyFont="1" applyAlignment="1" applyProtection="1">
      <alignment horizontal="centerContinuous"/>
      <protection/>
    </xf>
    <xf numFmtId="173" fontId="12" fillId="0" borderId="0" xfId="42" applyNumberFormat="1" applyFont="1" applyAlignment="1">
      <alignment/>
    </xf>
    <xf numFmtId="0" fontId="27" fillId="0" borderId="0" xfId="0" applyFont="1" applyAlignment="1">
      <alignment/>
    </xf>
    <xf numFmtId="37" fontId="3" fillId="0" borderId="0" xfId="0" applyNumberFormat="1" applyFont="1" applyFill="1" applyBorder="1" applyAlignment="1" applyProtection="1">
      <alignment horizontal="fill"/>
      <protection/>
    </xf>
    <xf numFmtId="169" fontId="3" fillId="0" borderId="19" xfId="44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10" fontId="10" fillId="0" borderId="0" xfId="0" applyNumberFormat="1" applyFont="1" applyBorder="1" applyAlignment="1" applyProtection="1">
      <alignment/>
      <protection/>
    </xf>
    <xf numFmtId="3" fontId="0" fillId="32" borderId="25" xfId="0" applyNumberFormat="1" applyFont="1" applyFill="1" applyBorder="1" applyAlignment="1">
      <alignment horizontal="center"/>
    </xf>
    <xf numFmtId="169" fontId="0" fillId="32" borderId="25" xfId="44" applyNumberFormat="1" applyFont="1" applyFill="1" applyBorder="1" applyAlignment="1">
      <alignment horizontal="center"/>
    </xf>
    <xf numFmtId="37" fontId="2" fillId="0" borderId="37" xfId="0" applyNumberFormat="1" applyFont="1" applyFill="1" applyBorder="1" applyAlignment="1" applyProtection="1">
      <alignment/>
      <protection/>
    </xf>
    <xf numFmtId="37" fontId="3" fillId="0" borderId="29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37" fontId="3" fillId="0" borderId="29" xfId="0" applyNumberFormat="1" applyFont="1" applyBorder="1" applyAlignment="1" applyProtection="1">
      <alignment/>
      <protection/>
    </xf>
    <xf numFmtId="0" fontId="0" fillId="0" borderId="38" xfId="0" applyBorder="1" applyAlignment="1">
      <alignment/>
    </xf>
    <xf numFmtId="170" fontId="12" fillId="0" borderId="0" xfId="0" applyNumberFormat="1" applyFont="1" applyAlignment="1">
      <alignment/>
    </xf>
    <xf numFmtId="0" fontId="0" fillId="0" borderId="39" xfId="0" applyFont="1" applyBorder="1" applyAlignment="1">
      <alignment/>
    </xf>
    <xf numFmtId="0" fontId="2" fillId="0" borderId="4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10" fontId="0" fillId="32" borderId="0" xfId="0" applyNumberFormat="1" applyFont="1" applyFill="1" applyBorder="1" applyAlignment="1" applyProtection="1">
      <alignment/>
      <protection/>
    </xf>
    <xf numFmtId="10" fontId="0" fillId="32" borderId="0" xfId="0" applyNumberFormat="1" applyFont="1" applyFill="1" applyBorder="1" applyAlignment="1">
      <alignment/>
    </xf>
    <xf numFmtId="10" fontId="3" fillId="32" borderId="0" xfId="0" applyNumberFormat="1" applyFont="1" applyFill="1" applyBorder="1" applyAlignment="1" applyProtection="1">
      <alignment/>
      <protection/>
    </xf>
    <xf numFmtId="10" fontId="3" fillId="0" borderId="0" xfId="64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 indent="1"/>
      <protection/>
    </xf>
    <xf numFmtId="0" fontId="1" fillId="0" borderId="0" xfId="59">
      <alignment/>
      <protection/>
    </xf>
    <xf numFmtId="0" fontId="28" fillId="0" borderId="0" xfId="59" applyFont="1" applyAlignment="1">
      <alignment horizontal="left"/>
      <protection/>
    </xf>
    <xf numFmtId="0" fontId="28" fillId="0" borderId="0" xfId="59" applyFont="1">
      <alignment/>
      <protection/>
    </xf>
    <xf numFmtId="0" fontId="28" fillId="0" borderId="0" xfId="59" applyFont="1" applyAlignment="1">
      <alignment horizontal="center"/>
      <protection/>
    </xf>
    <xf numFmtId="0" fontId="1" fillId="0" borderId="0" xfId="59" applyAlignment="1">
      <alignment horizontal="left"/>
      <protection/>
    </xf>
    <xf numFmtId="170" fontId="1" fillId="0" borderId="15" xfId="59" applyNumberFormat="1" applyBorder="1" applyAlignment="1">
      <alignment horizontal="center"/>
      <protection/>
    </xf>
    <xf numFmtId="0" fontId="1" fillId="0" borderId="0" xfId="59" applyFont="1" applyAlignment="1">
      <alignment horizontal="left"/>
      <protection/>
    </xf>
    <xf numFmtId="0" fontId="1" fillId="0" borderId="0" xfId="59" applyAlignment="1">
      <alignment horizontal="center"/>
      <protection/>
    </xf>
    <xf numFmtId="0" fontId="1" fillId="0" borderId="0" xfId="59" applyFont="1">
      <alignment/>
      <protection/>
    </xf>
    <xf numFmtId="3" fontId="1" fillId="0" borderId="15" xfId="59" applyNumberFormat="1" applyBorder="1" applyAlignment="1">
      <alignment horizontal="center"/>
      <protection/>
    </xf>
    <xf numFmtId="3" fontId="28" fillId="0" borderId="15" xfId="59" applyNumberFormat="1" applyFont="1" applyBorder="1" applyAlignment="1">
      <alignment horizontal="center"/>
      <protection/>
    </xf>
    <xf numFmtId="170" fontId="0" fillId="32" borderId="0" xfId="0" applyNumberFormat="1" applyFont="1" applyFill="1" applyAlignment="1">
      <alignment/>
    </xf>
    <xf numFmtId="41" fontId="0" fillId="32" borderId="0" xfId="0" applyNumberFormat="1" applyFont="1" applyFill="1" applyAlignment="1">
      <alignment/>
    </xf>
    <xf numFmtId="5" fontId="12" fillId="0" borderId="12" xfId="0" applyNumberFormat="1" applyFont="1" applyFill="1" applyBorder="1" applyAlignment="1">
      <alignment horizontal="right"/>
    </xf>
    <xf numFmtId="0" fontId="2" fillId="33" borderId="2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4" fontId="0" fillId="32" borderId="25" xfId="44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12" fillId="32" borderId="17" xfId="64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center"/>
    </xf>
    <xf numFmtId="41" fontId="22" fillId="32" borderId="41" xfId="0" applyNumberFormat="1" applyFont="1" applyFill="1" applyBorder="1" applyAlignment="1" applyProtection="1">
      <alignment/>
      <protection/>
    </xf>
    <xf numFmtId="41" fontId="0" fillId="32" borderId="12" xfId="0" applyNumberFormat="1" applyFont="1" applyFill="1" applyBorder="1" applyAlignment="1">
      <alignment/>
    </xf>
    <xf numFmtId="41" fontId="2" fillId="32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0" xfId="59" applyFont="1">
      <alignment/>
      <protection/>
    </xf>
    <xf numFmtId="0" fontId="12" fillId="0" borderId="0" xfId="59" applyFont="1" applyFill="1">
      <alignment/>
      <protection/>
    </xf>
    <xf numFmtId="0" fontId="12" fillId="34" borderId="0" xfId="59" applyFont="1" applyFill="1">
      <alignment/>
      <protection/>
    </xf>
    <xf numFmtId="0" fontId="1" fillId="0" borderId="0" xfId="59" applyFont="1" applyFill="1">
      <alignment/>
      <protection/>
    </xf>
    <xf numFmtId="0" fontId="0" fillId="0" borderId="42" xfId="0" applyFont="1" applyFill="1" applyBorder="1" applyAlignment="1">
      <alignment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58" applyFont="1" applyFill="1" applyBorder="1" applyAlignment="1">
      <alignment horizontal="center"/>
      <protection/>
    </xf>
    <xf numFmtId="173" fontId="0" fillId="0" borderId="0" xfId="42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12" fillId="33" borderId="40" xfId="58" applyFont="1" applyFill="1" applyBorder="1" applyAlignment="1">
      <alignment horizontal="center"/>
      <protection/>
    </xf>
    <xf numFmtId="3" fontId="0" fillId="33" borderId="43" xfId="0" applyNumberFormat="1" applyFont="1" applyFill="1" applyBorder="1" applyAlignment="1">
      <alignment horizontal="center"/>
    </xf>
    <xf numFmtId="9" fontId="0" fillId="0" borderId="0" xfId="58" applyNumberFormat="1" applyFont="1" applyFill="1" applyBorder="1" applyAlignment="1">
      <alignment horizontal="center"/>
      <protection/>
    </xf>
    <xf numFmtId="43" fontId="0" fillId="0" borderId="0" xfId="58" applyNumberFormat="1" applyFont="1" applyFill="1" applyBorder="1" applyAlignment="1">
      <alignment horizontal="center"/>
      <protection/>
    </xf>
    <xf numFmtId="9" fontId="0" fillId="32" borderId="17" xfId="64" applyFont="1" applyFill="1" applyBorder="1" applyAlignment="1">
      <alignment horizontal="right"/>
    </xf>
    <xf numFmtId="0" fontId="0" fillId="0" borderId="10" xfId="58" applyFont="1" applyFill="1" applyBorder="1" applyAlignment="1">
      <alignment horizontal="center" wrapText="1"/>
      <protection/>
    </xf>
    <xf numFmtId="0" fontId="2" fillId="0" borderId="19" xfId="0" applyFont="1" applyFill="1" applyBorder="1" applyAlignment="1" applyProtection="1">
      <alignment horizontal="right"/>
      <protection/>
    </xf>
    <xf numFmtId="173" fontId="0" fillId="0" borderId="10" xfId="42" applyNumberFormat="1" applyFont="1" applyFill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3" borderId="18" xfId="58" applyFont="1" applyFill="1" applyBorder="1" applyAlignment="1">
      <alignment horizontal="center" wrapText="1"/>
      <protection/>
    </xf>
    <xf numFmtId="0" fontId="0" fillId="33" borderId="11" xfId="58" applyFont="1" applyFill="1" applyBorder="1" applyAlignment="1">
      <alignment horizontal="center" wrapText="1"/>
      <protection/>
    </xf>
    <xf numFmtId="0" fontId="0" fillId="0" borderId="13" xfId="58" applyFont="1" applyFill="1" applyBorder="1" applyAlignment="1">
      <alignment horizontal="right"/>
      <protection/>
    </xf>
    <xf numFmtId="0" fontId="0" fillId="0" borderId="14" xfId="58" applyFont="1" applyFill="1" applyBorder="1" applyAlignment="1">
      <alignment horizontal="right"/>
      <protection/>
    </xf>
    <xf numFmtId="0" fontId="0" fillId="0" borderId="19" xfId="58" applyFont="1" applyFill="1" applyBorder="1" applyAlignment="1">
      <alignment horizontal="center"/>
      <protection/>
    </xf>
    <xf numFmtId="9" fontId="0" fillId="33" borderId="45" xfId="64" applyFont="1" applyFill="1" applyBorder="1" applyAlignment="1">
      <alignment horizontal="left"/>
    </xf>
    <xf numFmtId="9" fontId="0" fillId="33" borderId="18" xfId="64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9" fontId="0" fillId="0" borderId="14" xfId="64" applyFont="1" applyFill="1" applyBorder="1" applyAlignment="1">
      <alignment horizontal="left"/>
    </xf>
    <xf numFmtId="0" fontId="0" fillId="0" borderId="19" xfId="58" applyFont="1" applyFill="1" applyBorder="1" applyAlignment="1">
      <alignment horizontal="left"/>
      <protection/>
    </xf>
    <xf numFmtId="173" fontId="12" fillId="0" borderId="19" xfId="42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32" borderId="25" xfId="0" applyFont="1" applyFill="1" applyBorder="1" applyAlignment="1">
      <alignment/>
    </xf>
    <xf numFmtId="5" fontId="3" fillId="32" borderId="46" xfId="0" applyNumberFormat="1" applyFont="1" applyFill="1" applyBorder="1" applyAlignment="1" applyProtection="1">
      <alignment/>
      <protection/>
    </xf>
    <xf numFmtId="5" fontId="0" fillId="32" borderId="28" xfId="0" applyNumberFormat="1" applyFont="1" applyFill="1" applyBorder="1" applyAlignment="1" applyProtection="1">
      <alignment/>
      <protection/>
    </xf>
    <xf numFmtId="5" fontId="3" fillId="32" borderId="28" xfId="0" applyNumberFormat="1" applyFont="1" applyFill="1" applyBorder="1" applyAlignment="1" applyProtection="1">
      <alignment/>
      <protection/>
    </xf>
    <xf numFmtId="5" fontId="0" fillId="0" borderId="0" xfId="44" applyNumberFormat="1" applyFont="1" applyBorder="1" applyAlignment="1">
      <alignment/>
    </xf>
    <xf numFmtId="10" fontId="0" fillId="32" borderId="28" xfId="0" applyNumberFormat="1" applyFont="1" applyFill="1" applyBorder="1" applyAlignment="1" applyProtection="1">
      <alignment horizontal="right"/>
      <protection/>
    </xf>
    <xf numFmtId="169" fontId="2" fillId="0" borderId="0" xfId="0" applyNumberFormat="1" applyFont="1" applyBorder="1" applyAlignment="1" applyProtection="1">
      <alignment/>
      <protection/>
    </xf>
    <xf numFmtId="170" fontId="2" fillId="0" borderId="12" xfId="0" applyNumberFormat="1" applyFont="1" applyFill="1" applyBorder="1" applyAlignment="1" applyProtection="1">
      <alignment/>
      <protection/>
    </xf>
    <xf numFmtId="10" fontId="3" fillId="32" borderId="13" xfId="0" applyNumberFormat="1" applyFont="1" applyFill="1" applyBorder="1" applyAlignment="1" applyProtection="1">
      <alignment/>
      <protection/>
    </xf>
    <xf numFmtId="10" fontId="0" fillId="32" borderId="17" xfId="0" applyNumberFormat="1" applyFill="1" applyBorder="1" applyAlignment="1">
      <alignment/>
    </xf>
    <xf numFmtId="173" fontId="0" fillId="0" borderId="0" xfId="42" applyNumberFormat="1" applyFont="1" applyBorder="1" applyAlignment="1">
      <alignment horizontal="right"/>
    </xf>
    <xf numFmtId="5" fontId="0" fillId="0" borderId="0" xfId="0" applyNumberFormat="1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Border="1" applyAlignment="1">
      <alignment/>
    </xf>
    <xf numFmtId="10" fontId="3" fillId="0" borderId="13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2" fillId="0" borderId="0" xfId="58" applyFont="1" applyFill="1" applyBorder="1" applyAlignment="1">
      <alignment horizontal="left"/>
      <protection/>
    </xf>
    <xf numFmtId="0" fontId="0" fillId="0" borderId="15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17" xfId="58" applyFont="1" applyFill="1" applyBorder="1" applyAlignment="1">
      <alignment horizontal="center" wrapText="1"/>
      <protection/>
    </xf>
    <xf numFmtId="3" fontId="0" fillId="0" borderId="17" xfId="0" applyNumberFormat="1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right" indent="1"/>
      <protection/>
    </xf>
    <xf numFmtId="9" fontId="0" fillId="32" borderId="17" xfId="64" applyFont="1" applyFill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37" fontId="3" fillId="0" borderId="0" xfId="0" applyNumberFormat="1" applyFont="1" applyFill="1" applyBorder="1" applyAlignment="1" applyProtection="1">
      <alignment horizontal="center" wrapText="1"/>
      <protection/>
    </xf>
    <xf numFmtId="7" fontId="3" fillId="0" borderId="0" xfId="0" applyNumberFormat="1" applyFont="1" applyFill="1" applyBorder="1" applyAlignment="1" applyProtection="1">
      <alignment horizontal="center" wrapText="1"/>
      <protection/>
    </xf>
    <xf numFmtId="0" fontId="0" fillId="32" borderId="12" xfId="0" applyNumberFormat="1" applyFont="1" applyFill="1" applyBorder="1" applyAlignment="1">
      <alignment/>
    </xf>
    <xf numFmtId="0" fontId="29" fillId="33" borderId="40" xfId="58" applyFont="1" applyFill="1" applyBorder="1" applyAlignment="1">
      <alignment horizontal="center"/>
      <protection/>
    </xf>
    <xf numFmtId="173" fontId="2" fillId="0" borderId="10" xfId="0" applyNumberFormat="1" applyFont="1" applyFill="1" applyBorder="1" applyAlignment="1" applyProtection="1">
      <alignment/>
      <protection/>
    </xf>
    <xf numFmtId="173" fontId="2" fillId="0" borderId="16" xfId="0" applyNumberFormat="1" applyFont="1" applyFill="1" applyBorder="1" applyAlignment="1" applyProtection="1">
      <alignment/>
      <protection/>
    </xf>
    <xf numFmtId="0" fontId="0" fillId="33" borderId="0" xfId="58" applyFont="1" applyFill="1" applyBorder="1" applyAlignment="1">
      <alignment horizontal="center"/>
      <protection/>
    </xf>
    <xf numFmtId="43" fontId="0" fillId="33" borderId="0" xfId="58" applyNumberFormat="1" applyFont="1" applyFill="1" applyBorder="1" applyAlignment="1">
      <alignment horizontal="center"/>
      <protection/>
    </xf>
    <xf numFmtId="173" fontId="0" fillId="33" borderId="0" xfId="42" applyNumberFormat="1" applyFont="1" applyFill="1" applyBorder="1" applyAlignment="1">
      <alignment/>
    </xf>
    <xf numFmtId="3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9" fontId="0" fillId="0" borderId="0" xfId="0" applyNumberFormat="1" applyAlignment="1">
      <alignment/>
    </xf>
    <xf numFmtId="0" fontId="12" fillId="33" borderId="0" xfId="0" applyFont="1" applyFill="1" applyAlignment="1">
      <alignment/>
    </xf>
    <xf numFmtId="171" fontId="0" fillId="0" borderId="0" xfId="0" applyNumberFormat="1" applyFont="1" applyBorder="1" applyAlignment="1">
      <alignment horizontal="center"/>
    </xf>
    <xf numFmtId="170" fontId="3" fillId="0" borderId="0" xfId="0" applyNumberFormat="1" applyFont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173" fontId="3" fillId="0" borderId="0" xfId="42" applyNumberFormat="1" applyFont="1" applyAlignment="1" applyProtection="1">
      <alignment/>
      <protection/>
    </xf>
    <xf numFmtId="173" fontId="0" fillId="0" borderId="0" xfId="0" applyNumberFormat="1" applyAlignment="1">
      <alignment/>
    </xf>
    <xf numFmtId="173" fontId="31" fillId="0" borderId="0" xfId="42" applyNumberFormat="1" applyFont="1" applyAlignment="1">
      <alignment/>
    </xf>
    <xf numFmtId="173" fontId="31" fillId="0" borderId="0" xfId="42" applyNumberFormat="1" applyFont="1" applyAlignment="1" applyProtection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center"/>
    </xf>
    <xf numFmtId="0" fontId="0" fillId="32" borderId="25" xfId="44" applyNumberFormat="1" applyFont="1" applyFill="1" applyBorder="1" applyAlignment="1">
      <alignment horizontal="center"/>
    </xf>
    <xf numFmtId="7" fontId="7" fillId="0" borderId="10" xfId="0" applyNumberFormat="1" applyFont="1" applyBorder="1" applyAlignment="1" applyProtection="1">
      <alignment/>
      <protection/>
    </xf>
    <xf numFmtId="41" fontId="3" fillId="32" borderId="0" xfId="0" applyNumberFormat="1" applyFont="1" applyFill="1" applyAlignment="1" applyProtection="1">
      <alignment/>
      <protection/>
    </xf>
    <xf numFmtId="5" fontId="0" fillId="32" borderId="0" xfId="0" applyNumberFormat="1" applyFont="1" applyFill="1" applyAlignment="1">
      <alignment/>
    </xf>
    <xf numFmtId="173" fontId="0" fillId="0" borderId="0" xfId="42" applyNumberFormat="1" applyFont="1" applyFill="1" applyAlignment="1">
      <alignment/>
    </xf>
    <xf numFmtId="173" fontId="12" fillId="0" borderId="18" xfId="42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/>
    </xf>
    <xf numFmtId="41" fontId="2" fillId="32" borderId="30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32" xfId="0" applyFont="1" applyFill="1" applyBorder="1" applyAlignment="1">
      <alignment/>
    </xf>
    <xf numFmtId="0" fontId="31" fillId="0" borderId="32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34" fillId="0" borderId="0" xfId="0" applyFont="1" applyAlignment="1">
      <alignment/>
    </xf>
    <xf numFmtId="171" fontId="0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ill="1" applyBorder="1" applyAlignment="1">
      <alignment/>
    </xf>
    <xf numFmtId="170" fontId="0" fillId="0" borderId="19" xfId="0" applyNumberFormat="1" applyFill="1" applyBorder="1" applyAlignment="1">
      <alignment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3" fontId="35" fillId="0" borderId="17" xfId="0" applyNumberFormat="1" applyFont="1" applyFill="1" applyBorder="1" applyAlignment="1">
      <alignment horizontal="center"/>
    </xf>
    <xf numFmtId="37" fontId="29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9" fontId="0" fillId="32" borderId="25" xfId="0" applyNumberFormat="1" applyFont="1" applyFill="1" applyBorder="1" applyAlignment="1">
      <alignment horizontal="center"/>
    </xf>
    <xf numFmtId="0" fontId="3" fillId="0" borderId="13" xfId="42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3" fillId="0" borderId="13" xfId="0" applyNumberFormat="1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/>
      <protection locked="0"/>
    </xf>
    <xf numFmtId="41" fontId="3" fillId="0" borderId="19" xfId="0" applyNumberFormat="1" applyFont="1" applyFill="1" applyBorder="1" applyAlignment="1" applyProtection="1">
      <alignment/>
      <protection/>
    </xf>
    <xf numFmtId="10" fontId="0" fillId="32" borderId="17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3" fillId="0" borderId="50" xfId="0" applyFont="1" applyFill="1" applyBorder="1" applyAlignment="1" applyProtection="1">
      <alignment horizontal="centerContinuous"/>
      <protection/>
    </xf>
    <xf numFmtId="0" fontId="0" fillId="0" borderId="5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169" fontId="3" fillId="0" borderId="0" xfId="44" applyNumberFormat="1" applyFont="1" applyFill="1" applyBorder="1" applyAlignment="1" applyProtection="1">
      <alignment/>
      <protection/>
    </xf>
    <xf numFmtId="0" fontId="3" fillId="0" borderId="28" xfId="64" applyNumberFormat="1" applyFont="1" applyBorder="1" applyAlignment="1" applyProtection="1">
      <alignment/>
      <protection/>
    </xf>
    <xf numFmtId="0" fontId="29" fillId="0" borderId="0" xfId="60" applyFont="1" applyAlignment="1">
      <alignment vertical="top"/>
      <protection/>
    </xf>
    <xf numFmtId="0" fontId="1" fillId="0" borderId="0" xfId="60" applyAlignment="1">
      <alignment vertical="top"/>
      <protection/>
    </xf>
    <xf numFmtId="0" fontId="1" fillId="0" borderId="0" xfId="60">
      <alignment/>
      <protection/>
    </xf>
    <xf numFmtId="0" fontId="28" fillId="33" borderId="51" xfId="60" applyFont="1" applyFill="1" applyBorder="1" applyAlignment="1">
      <alignment horizontal="center" vertical="top"/>
      <protection/>
    </xf>
    <xf numFmtId="0" fontId="28" fillId="0" borderId="52" xfId="60" applyFont="1" applyBorder="1" applyAlignment="1">
      <alignment vertical="top"/>
      <protection/>
    </xf>
    <xf numFmtId="169" fontId="1" fillId="0" borderId="53" xfId="44" applyNumberFormat="1" applyFont="1" applyBorder="1" applyAlignment="1">
      <alignment horizontal="center" vertical="top"/>
    </xf>
    <xf numFmtId="169" fontId="1" fillId="0" borderId="54" xfId="44" applyNumberFormat="1" applyFont="1" applyBorder="1" applyAlignment="1">
      <alignment horizontal="center" vertical="top"/>
    </xf>
    <xf numFmtId="169" fontId="1" fillId="0" borderId="55" xfId="44" applyNumberFormat="1" applyFont="1" applyBorder="1" applyAlignment="1">
      <alignment horizontal="center" vertical="top"/>
    </xf>
    <xf numFmtId="0" fontId="28" fillId="0" borderId="56" xfId="60" applyFont="1" applyBorder="1" applyAlignment="1">
      <alignment vertical="top"/>
      <protection/>
    </xf>
    <xf numFmtId="0" fontId="28" fillId="0" borderId="57" xfId="60" applyFont="1" applyBorder="1" applyAlignment="1">
      <alignment horizontal="center" vertical="top"/>
      <protection/>
    </xf>
    <xf numFmtId="0" fontId="28" fillId="0" borderId="58" xfId="60" applyFont="1" applyBorder="1" applyAlignment="1">
      <alignment horizontal="center" vertical="top"/>
      <protection/>
    </xf>
    <xf numFmtId="0" fontId="28" fillId="0" borderId="59" xfId="60" applyFont="1" applyBorder="1" applyAlignment="1">
      <alignment horizontal="center" vertical="top"/>
      <protection/>
    </xf>
    <xf numFmtId="0" fontId="28" fillId="33" borderId="60" xfId="60" applyFont="1" applyFill="1" applyBorder="1" applyAlignment="1">
      <alignment vertical="top"/>
      <protection/>
    </xf>
    <xf numFmtId="0" fontId="28" fillId="33" borderId="53" xfId="60" applyFont="1" applyFill="1" applyBorder="1" applyAlignment="1">
      <alignment horizontal="center" vertical="top"/>
      <protection/>
    </xf>
    <xf numFmtId="0" fontId="28" fillId="33" borderId="54" xfId="60" applyFont="1" applyFill="1" applyBorder="1" applyAlignment="1">
      <alignment horizontal="center" vertical="top"/>
      <protection/>
    </xf>
    <xf numFmtId="0" fontId="28" fillId="33" borderId="55" xfId="60" applyFont="1" applyFill="1" applyBorder="1" applyAlignment="1">
      <alignment horizontal="center" vertical="top"/>
      <protection/>
    </xf>
    <xf numFmtId="0" fontId="1" fillId="0" borderId="52" xfId="60" applyBorder="1" applyAlignment="1">
      <alignment horizontal="left" vertical="top" indent="1"/>
      <protection/>
    </xf>
    <xf numFmtId="0" fontId="28" fillId="0" borderId="60" xfId="60" applyFont="1" applyBorder="1" applyAlignment="1">
      <alignment vertical="top"/>
      <protection/>
    </xf>
    <xf numFmtId="0" fontId="28" fillId="0" borderId="53" xfId="60" applyFont="1" applyBorder="1" applyAlignment="1">
      <alignment horizontal="center" vertical="top"/>
      <protection/>
    </xf>
    <xf numFmtId="0" fontId="28" fillId="33" borderId="61" xfId="60" applyFont="1" applyFill="1" applyBorder="1" applyAlignment="1">
      <alignment vertical="top"/>
      <protection/>
    </xf>
    <xf numFmtId="0" fontId="28" fillId="33" borderId="62" xfId="60" applyFont="1" applyFill="1" applyBorder="1" applyAlignment="1">
      <alignment horizontal="center" vertical="top"/>
      <protection/>
    </xf>
    <xf numFmtId="0" fontId="1" fillId="0" borderId="63" xfId="60" applyBorder="1" applyAlignment="1">
      <alignment horizontal="left" vertical="top" indent="1"/>
      <protection/>
    </xf>
    <xf numFmtId="169" fontId="1" fillId="0" borderId="64" xfId="44" applyNumberFormat="1" applyFont="1" applyBorder="1" applyAlignment="1">
      <alignment vertical="top"/>
    </xf>
    <xf numFmtId="0" fontId="1" fillId="0" borderId="52" xfId="60" applyFont="1" applyBorder="1" applyAlignment="1">
      <alignment horizontal="left" vertical="top" indent="1"/>
      <protection/>
    </xf>
    <xf numFmtId="173" fontId="1" fillId="0" borderId="64" xfId="42" applyNumberFormat="1" applyFont="1" applyBorder="1" applyAlignment="1">
      <alignment vertical="top"/>
    </xf>
    <xf numFmtId="0" fontId="28" fillId="0" borderId="0" xfId="60" applyFont="1">
      <alignment/>
      <protection/>
    </xf>
    <xf numFmtId="173" fontId="1" fillId="0" borderId="65" xfId="42" applyNumberFormat="1" applyFont="1" applyBorder="1" applyAlignment="1">
      <alignment vertical="top"/>
    </xf>
    <xf numFmtId="5" fontId="0" fillId="0" borderId="28" xfId="0" applyNumberFormat="1" applyFont="1" applyFill="1" applyBorder="1" applyAlignment="1" applyProtection="1">
      <alignment/>
      <protection/>
    </xf>
    <xf numFmtId="173" fontId="1" fillId="0" borderId="65" xfId="42" applyNumberFormat="1" applyFont="1" applyBorder="1" applyAlignment="1">
      <alignment vertical="top"/>
    </xf>
    <xf numFmtId="0" fontId="28" fillId="33" borderId="66" xfId="60" applyFont="1" applyFill="1" applyBorder="1" applyAlignment="1">
      <alignment vertical="top"/>
      <protection/>
    </xf>
    <xf numFmtId="173" fontId="36" fillId="33" borderId="67" xfId="42" applyNumberFormat="1" applyFont="1" applyFill="1" applyBorder="1" applyAlignment="1">
      <alignment vertical="top"/>
    </xf>
    <xf numFmtId="9" fontId="36" fillId="0" borderId="65" xfId="64" applyFont="1" applyBorder="1" applyAlignment="1">
      <alignment vertical="top"/>
    </xf>
    <xf numFmtId="0" fontId="37" fillId="0" borderId="0" xfId="60" applyFont="1">
      <alignment/>
      <protection/>
    </xf>
    <xf numFmtId="0" fontId="7" fillId="0" borderId="52" xfId="60" applyFont="1" applyBorder="1" applyAlignment="1">
      <alignment horizontal="left" vertical="top" indent="1"/>
      <protection/>
    </xf>
    <xf numFmtId="0" fontId="16" fillId="35" borderId="60" xfId="60" applyFont="1" applyFill="1" applyBorder="1" applyAlignment="1">
      <alignment horizontal="left" vertical="top" indent="1"/>
      <protection/>
    </xf>
    <xf numFmtId="173" fontId="28" fillId="35" borderId="68" xfId="42" applyNumberFormat="1" applyFont="1" applyFill="1" applyBorder="1" applyAlignment="1">
      <alignment vertical="top"/>
    </xf>
    <xf numFmtId="0" fontId="1" fillId="0" borderId="52" xfId="60" applyFont="1" applyBorder="1" applyAlignment="1">
      <alignment horizontal="left" vertical="top" indent="1"/>
      <protection/>
    </xf>
    <xf numFmtId="9" fontId="1" fillId="0" borderId="65" xfId="64" applyFont="1" applyBorder="1" applyAlignment="1">
      <alignment vertical="top"/>
    </xf>
    <xf numFmtId="9" fontId="28" fillId="35" borderId="54" xfId="64" applyFont="1" applyFill="1" applyBorder="1" applyAlignment="1">
      <alignment vertical="top"/>
    </xf>
    <xf numFmtId="173" fontId="1" fillId="0" borderId="64" xfId="42" applyNumberFormat="1" applyFont="1" applyBorder="1" applyAlignment="1">
      <alignment vertical="top"/>
    </xf>
    <xf numFmtId="0" fontId="1" fillId="0" borderId="0" xfId="60" applyBorder="1">
      <alignment/>
      <protection/>
    </xf>
    <xf numFmtId="0" fontId="39" fillId="0" borderId="0" xfId="60" applyFont="1" applyBorder="1" applyAlignment="1">
      <alignment horizontal="left" wrapText="1"/>
      <protection/>
    </xf>
    <xf numFmtId="0" fontId="28" fillId="33" borderId="66" xfId="60" applyFont="1" applyFill="1" applyBorder="1" applyAlignment="1">
      <alignment horizontal="left" vertical="top"/>
      <protection/>
    </xf>
    <xf numFmtId="173" fontId="1" fillId="33" borderId="67" xfId="42" applyNumberFormat="1" applyFont="1" applyFill="1" applyBorder="1" applyAlignment="1">
      <alignment vertical="top"/>
    </xf>
    <xf numFmtId="9" fontId="1" fillId="33" borderId="69" xfId="64" applyFont="1" applyFill="1" applyBorder="1" applyAlignment="1">
      <alignment vertical="top"/>
    </xf>
    <xf numFmtId="0" fontId="40" fillId="0" borderId="63" xfId="60" applyFont="1" applyBorder="1" applyAlignment="1">
      <alignment horizontal="left" vertical="top"/>
      <protection/>
    </xf>
    <xf numFmtId="173" fontId="1" fillId="0" borderId="68" xfId="42" applyNumberFormat="1" applyFont="1" applyBorder="1" applyAlignment="1">
      <alignment vertical="top"/>
    </xf>
    <xf numFmtId="0" fontId="1" fillId="0" borderId="63" xfId="60" applyFont="1" applyBorder="1" applyAlignment="1">
      <alignment horizontal="left" vertical="top" indent="1"/>
      <protection/>
    </xf>
    <xf numFmtId="9" fontId="36" fillId="0" borderId="70" xfId="64" applyFont="1" applyBorder="1" applyAlignment="1">
      <alignment vertical="top"/>
    </xf>
    <xf numFmtId="9" fontId="37" fillId="0" borderId="0" xfId="64" applyFont="1" applyFill="1" applyBorder="1" applyAlignment="1" quotePrefix="1">
      <alignment horizontal="left" vertical="top" indent="1"/>
    </xf>
    <xf numFmtId="0" fontId="36" fillId="0" borderId="52" xfId="60" applyFont="1" applyBorder="1" applyAlignment="1">
      <alignment horizontal="left" vertical="top" indent="1"/>
      <protection/>
    </xf>
    <xf numFmtId="173" fontId="36" fillId="0" borderId="53" xfId="60" applyNumberFormat="1" applyFont="1" applyBorder="1" applyAlignment="1">
      <alignment vertical="top"/>
      <protection/>
    </xf>
    <xf numFmtId="0" fontId="40" fillId="0" borderId="52" xfId="60" applyFont="1" applyBorder="1" applyAlignment="1">
      <alignment horizontal="left" vertical="top"/>
      <protection/>
    </xf>
    <xf numFmtId="0" fontId="36" fillId="0" borderId="71" xfId="60" applyFont="1" applyBorder="1" applyAlignment="1">
      <alignment horizontal="left" vertical="top" indent="1"/>
      <protection/>
    </xf>
    <xf numFmtId="173" fontId="36" fillId="0" borderId="72" xfId="42" applyNumberFormat="1" applyFont="1" applyBorder="1" applyAlignment="1">
      <alignment vertical="top"/>
    </xf>
    <xf numFmtId="9" fontId="36" fillId="0" borderId="73" xfId="64" applyFont="1" applyBorder="1" applyAlignment="1">
      <alignment vertical="top"/>
    </xf>
    <xf numFmtId="0" fontId="28" fillId="33" borderId="63" xfId="60" applyFont="1" applyFill="1" applyBorder="1" applyAlignment="1">
      <alignment vertical="top"/>
      <protection/>
    </xf>
    <xf numFmtId="169" fontId="1" fillId="33" borderId="68" xfId="44" applyNumberFormat="1" applyFont="1" applyFill="1" applyBorder="1" applyAlignment="1">
      <alignment vertical="top"/>
    </xf>
    <xf numFmtId="0" fontId="1" fillId="0" borderId="52" xfId="60" applyFont="1" applyFill="1" applyBorder="1" applyAlignment="1">
      <alignment vertical="top"/>
      <protection/>
    </xf>
    <xf numFmtId="169" fontId="1" fillId="0" borderId="64" xfId="44" applyNumberFormat="1" applyFont="1" applyFill="1" applyBorder="1" applyAlignment="1">
      <alignment vertical="top"/>
    </xf>
    <xf numFmtId="0" fontId="39" fillId="0" borderId="52" xfId="60" applyFont="1" applyFill="1" applyBorder="1" applyAlignment="1">
      <alignment vertical="top"/>
      <protection/>
    </xf>
    <xf numFmtId="0" fontId="41" fillId="33" borderId="66" xfId="60" applyFont="1" applyFill="1" applyBorder="1" applyAlignment="1">
      <alignment vertical="top"/>
      <protection/>
    </xf>
    <xf numFmtId="169" fontId="1" fillId="33" borderId="67" xfId="44" applyNumberFormat="1" applyFont="1" applyFill="1" applyBorder="1" applyAlignment="1">
      <alignment vertical="top"/>
    </xf>
    <xf numFmtId="0" fontId="41" fillId="0" borderId="52" xfId="60" applyFont="1" applyBorder="1" applyAlignment="1">
      <alignment vertical="top"/>
      <protection/>
    </xf>
    <xf numFmtId="0" fontId="39" fillId="0" borderId="52" xfId="60" applyFont="1" applyBorder="1" applyAlignment="1">
      <alignment vertical="top"/>
      <protection/>
    </xf>
    <xf numFmtId="0" fontId="42" fillId="0" borderId="52" xfId="60" applyFont="1" applyBorder="1" applyAlignment="1">
      <alignment vertical="top"/>
      <protection/>
    </xf>
    <xf numFmtId="169" fontId="36" fillId="0" borderId="64" xfId="44" applyNumberFormat="1" applyFont="1" applyBorder="1" applyAlignment="1">
      <alignment vertical="top"/>
    </xf>
    <xf numFmtId="0" fontId="39" fillId="0" borderId="52" xfId="60" applyFont="1" applyBorder="1" applyAlignment="1">
      <alignment horizontal="left" vertical="top" indent="1"/>
      <protection/>
    </xf>
    <xf numFmtId="0" fontId="39" fillId="0" borderId="56" xfId="60" applyFont="1" applyBorder="1" applyAlignment="1">
      <alignment horizontal="left" vertical="top"/>
      <protection/>
    </xf>
    <xf numFmtId="169" fontId="1" fillId="0" borderId="57" xfId="44" applyNumberFormat="1" applyFont="1" applyBorder="1" applyAlignment="1">
      <alignment vertical="top"/>
    </xf>
    <xf numFmtId="0" fontId="28" fillId="33" borderId="63" xfId="60" applyFont="1" applyFill="1" applyBorder="1" applyAlignment="1">
      <alignment horizontal="left" vertical="top"/>
      <protection/>
    </xf>
    <xf numFmtId="169" fontId="1" fillId="0" borderId="68" xfId="44" applyNumberFormat="1" applyFont="1" applyFill="1" applyBorder="1" applyAlignment="1">
      <alignment vertical="top"/>
    </xf>
    <xf numFmtId="0" fontId="36" fillId="0" borderId="52" xfId="60" applyFont="1" applyBorder="1" applyAlignment="1">
      <alignment horizontal="left" vertical="top" indent="2"/>
      <protection/>
    </xf>
    <xf numFmtId="0" fontId="1" fillId="0" borderId="52" xfId="60" applyFont="1" applyFill="1" applyBorder="1" applyAlignment="1">
      <alignment horizontal="left" vertical="top" indent="1"/>
      <protection/>
    </xf>
    <xf numFmtId="0" fontId="1" fillId="0" borderId="0" xfId="60" applyFill="1" applyBorder="1" applyAlignment="1">
      <alignment horizontal="left" vertical="top" indent="1"/>
      <protection/>
    </xf>
    <xf numFmtId="0" fontId="39" fillId="0" borderId="52" xfId="60" applyFont="1" applyFill="1" applyBorder="1" applyAlignment="1">
      <alignment horizontal="left" vertical="top" indent="1"/>
      <protection/>
    </xf>
    <xf numFmtId="0" fontId="28" fillId="35" borderId="52" xfId="60" applyFont="1" applyFill="1" applyBorder="1" applyAlignment="1">
      <alignment horizontal="left" vertical="top" indent="1"/>
      <protection/>
    </xf>
    <xf numFmtId="169" fontId="28" fillId="35" borderId="64" xfId="44" applyNumberFormat="1" applyFont="1" applyFill="1" applyBorder="1" applyAlignment="1">
      <alignment vertical="top"/>
    </xf>
    <xf numFmtId="0" fontId="7" fillId="0" borderId="56" xfId="60" applyFont="1" applyBorder="1" applyAlignment="1">
      <alignment horizontal="left" vertical="top" indent="1"/>
      <protection/>
    </xf>
    <xf numFmtId="0" fontId="1" fillId="0" borderId="52" xfId="60" applyFill="1" applyBorder="1" applyAlignment="1">
      <alignment horizontal="left" vertical="top" indent="1"/>
      <protection/>
    </xf>
    <xf numFmtId="0" fontId="36" fillId="0" borderId="52" xfId="60" applyFont="1" applyFill="1" applyBorder="1" applyAlignment="1">
      <alignment horizontal="left" vertical="top" indent="2"/>
      <protection/>
    </xf>
    <xf numFmtId="169" fontId="36" fillId="0" borderId="64" xfId="44" applyNumberFormat="1" applyFont="1" applyFill="1" applyBorder="1" applyAlignment="1">
      <alignment vertical="top"/>
    </xf>
    <xf numFmtId="0" fontId="37" fillId="0" borderId="0" xfId="60" applyFont="1" applyAlignment="1">
      <alignment horizontal="left" indent="1"/>
      <protection/>
    </xf>
    <xf numFmtId="0" fontId="39" fillId="0" borderId="52" xfId="60" applyFont="1" applyFill="1" applyBorder="1" applyAlignment="1">
      <alignment horizontal="left" vertical="top" indent="1"/>
      <protection/>
    </xf>
    <xf numFmtId="0" fontId="28" fillId="0" borderId="52" xfId="60" applyFont="1" applyBorder="1" applyAlignment="1">
      <alignment horizontal="left" vertical="top" indent="1"/>
      <protection/>
    </xf>
    <xf numFmtId="0" fontId="28" fillId="35" borderId="52" xfId="60" applyFont="1" applyFill="1" applyBorder="1" applyAlignment="1">
      <alignment horizontal="left" vertical="top"/>
      <protection/>
    </xf>
    <xf numFmtId="0" fontId="1" fillId="0" borderId="71" xfId="60" applyBorder="1" applyAlignment="1">
      <alignment vertical="top"/>
      <protection/>
    </xf>
    <xf numFmtId="169" fontId="1" fillId="0" borderId="72" xfId="44" applyNumberFormat="1" applyFont="1" applyBorder="1" applyAlignment="1">
      <alignment vertical="top"/>
    </xf>
    <xf numFmtId="0" fontId="40" fillId="0" borderId="52" xfId="60" applyFont="1" applyBorder="1" applyAlignment="1">
      <alignment vertical="top" wrapText="1"/>
      <protection/>
    </xf>
    <xf numFmtId="169" fontId="1" fillId="0" borderId="64" xfId="44" applyNumberFormat="1" applyFont="1" applyBorder="1" applyAlignment="1">
      <alignment vertical="top" wrapText="1"/>
    </xf>
    <xf numFmtId="0" fontId="38" fillId="35" borderId="52" xfId="60" applyFont="1" applyFill="1" applyBorder="1" applyAlignment="1">
      <alignment vertical="top"/>
      <protection/>
    </xf>
    <xf numFmtId="169" fontId="38" fillId="35" borderId="64" xfId="44" applyNumberFormat="1" applyFont="1" applyFill="1" applyBorder="1" applyAlignment="1">
      <alignment vertical="top"/>
    </xf>
    <xf numFmtId="0" fontId="38" fillId="35" borderId="52" xfId="60" applyFont="1" applyFill="1" applyBorder="1" applyAlignment="1">
      <alignment horizontal="left" vertical="top" indent="1"/>
      <protection/>
    </xf>
    <xf numFmtId="0" fontId="38" fillId="0" borderId="63" xfId="60" applyFont="1" applyBorder="1" applyAlignment="1">
      <alignment vertical="top"/>
      <protection/>
    </xf>
    <xf numFmtId="169" fontId="38" fillId="0" borderId="68" xfId="44" applyNumberFormat="1" applyFont="1" applyBorder="1" applyAlignment="1">
      <alignment vertical="top"/>
    </xf>
    <xf numFmtId="0" fontId="28" fillId="35" borderId="63" xfId="60" applyFont="1" applyFill="1" applyBorder="1" applyAlignment="1">
      <alignment vertical="top"/>
      <protection/>
    </xf>
    <xf numFmtId="169" fontId="28" fillId="35" borderId="68" xfId="44" applyNumberFormat="1" applyFont="1" applyFill="1" applyBorder="1" applyAlignment="1">
      <alignment vertical="top"/>
    </xf>
    <xf numFmtId="169" fontId="38" fillId="35" borderId="68" xfId="44" applyNumberFormat="1" applyFont="1" applyFill="1" applyBorder="1" applyAlignment="1">
      <alignment vertical="top"/>
    </xf>
    <xf numFmtId="0" fontId="28" fillId="0" borderId="71" xfId="60" applyFont="1" applyBorder="1" applyAlignment="1">
      <alignment vertical="top"/>
      <protection/>
    </xf>
    <xf numFmtId="0" fontId="1" fillId="0" borderId="0" xfId="59" applyFont="1">
      <alignment/>
      <protection/>
    </xf>
    <xf numFmtId="0" fontId="1" fillId="0" borderId="0" xfId="59" applyFont="1" applyAlignment="1">
      <alignment horizontal="left" indent="1"/>
      <protection/>
    </xf>
    <xf numFmtId="0" fontId="1" fillId="0" borderId="0" xfId="59" applyFont="1" applyFill="1" applyAlignment="1">
      <alignment horizontal="left" indent="1"/>
      <protection/>
    </xf>
    <xf numFmtId="0" fontId="28" fillId="0" borderId="0" xfId="59" applyFont="1" applyAlignment="1">
      <alignment horizontal="left" indent="1"/>
      <protection/>
    </xf>
    <xf numFmtId="173" fontId="3" fillId="0" borderId="17" xfId="42" applyNumberFormat="1" applyFont="1" applyFill="1" applyBorder="1" applyAlignment="1" applyProtection="1">
      <alignment horizontal="right"/>
      <protection/>
    </xf>
    <xf numFmtId="0" fontId="7" fillId="0" borderId="13" xfId="61" applyFont="1" applyBorder="1" applyProtection="1">
      <alignment/>
      <protection/>
    </xf>
    <xf numFmtId="0" fontId="7" fillId="0" borderId="0" xfId="61" applyFont="1" applyBorder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3" fontId="3" fillId="0" borderId="0" xfId="42" applyNumberFormat="1" applyFont="1" applyBorder="1" applyAlignment="1" applyProtection="1">
      <alignment/>
      <protection/>
    </xf>
    <xf numFmtId="5" fontId="3" fillId="0" borderId="0" xfId="0" applyNumberFormat="1" applyFont="1" applyBorder="1" applyAlignment="1" applyProtection="1" quotePrefix="1">
      <alignment/>
      <protection/>
    </xf>
    <xf numFmtId="0" fontId="3" fillId="0" borderId="19" xfId="0" applyFont="1" applyBorder="1" applyAlignment="1" applyProtection="1">
      <alignment/>
      <protection/>
    </xf>
    <xf numFmtId="43" fontId="7" fillId="0" borderId="18" xfId="0" applyNumberFormat="1" applyFont="1" applyBorder="1" applyAlignment="1" applyProtection="1">
      <alignment/>
      <protection/>
    </xf>
    <xf numFmtId="7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168" fontId="7" fillId="0" borderId="0" xfId="0" applyNumberFormat="1" applyFont="1" applyBorder="1" applyAlignment="1" applyProtection="1">
      <alignment/>
      <protection/>
    </xf>
    <xf numFmtId="5" fontId="3" fillId="0" borderId="19" xfId="0" applyNumberFormat="1" applyFont="1" applyBorder="1" applyAlignment="1" applyProtection="1">
      <alignment/>
      <protection/>
    </xf>
    <xf numFmtId="41" fontId="22" fillId="0" borderId="12" xfId="0" applyNumberFormat="1" applyFont="1" applyFill="1" applyBorder="1" applyAlignment="1" applyProtection="1">
      <alignment/>
      <protection/>
    </xf>
    <xf numFmtId="41" fontId="3" fillId="32" borderId="12" xfId="0" applyNumberFormat="1" applyFont="1" applyFill="1" applyBorder="1" applyAlignment="1" applyProtection="1">
      <alignment/>
      <protection/>
    </xf>
    <xf numFmtId="41" fontId="22" fillId="32" borderId="12" xfId="0" applyNumberFormat="1" applyFont="1" applyFill="1" applyBorder="1" applyAlignment="1" applyProtection="1">
      <alignment/>
      <protection/>
    </xf>
    <xf numFmtId="41" fontId="14" fillId="0" borderId="12" xfId="0" applyNumberFormat="1" applyFont="1" applyFill="1" applyBorder="1" applyAlignment="1" applyProtection="1">
      <alignment/>
      <protection/>
    </xf>
    <xf numFmtId="5" fontId="0" fillId="0" borderId="12" xfId="0" applyNumberFormat="1" applyFont="1" applyFill="1" applyBorder="1" applyAlignment="1" applyProtection="1">
      <alignment/>
      <protection/>
    </xf>
    <xf numFmtId="5" fontId="0" fillId="0" borderId="12" xfId="0" applyNumberFormat="1" applyFont="1" applyFill="1" applyBorder="1" applyAlignment="1">
      <alignment/>
    </xf>
    <xf numFmtId="41" fontId="0" fillId="32" borderId="12" xfId="0" applyNumberFormat="1" applyFont="1" applyFill="1" applyBorder="1" applyAlignment="1">
      <alignment/>
    </xf>
    <xf numFmtId="41" fontId="0" fillId="32" borderId="12" xfId="0" applyNumberFormat="1" applyFont="1" applyFill="1" applyBorder="1" applyAlignment="1">
      <alignment horizontal="right"/>
    </xf>
    <xf numFmtId="0" fontId="25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12" fillId="0" borderId="17" xfId="0" applyFont="1" applyBorder="1" applyAlignment="1">
      <alignment/>
    </xf>
    <xf numFmtId="164" fontId="2" fillId="0" borderId="17" xfId="0" applyNumberFormat="1" applyFont="1" applyBorder="1" applyAlignment="1" applyProtection="1">
      <alignment horizontal="left"/>
      <protection/>
    </xf>
    <xf numFmtId="169" fontId="1" fillId="0" borderId="29" xfId="44" applyNumberFormat="1" applyFont="1" applyBorder="1" applyAlignment="1">
      <alignment/>
    </xf>
    <xf numFmtId="0" fontId="1" fillId="0" borderId="28" xfId="61" applyFont="1" applyBorder="1">
      <alignment/>
      <protection/>
    </xf>
    <xf numFmtId="0" fontId="1" fillId="0" borderId="35" xfId="61" applyFont="1" applyBorder="1">
      <alignment/>
      <protection/>
    </xf>
    <xf numFmtId="169" fontId="7" fillId="0" borderId="29" xfId="44" applyNumberFormat="1" applyFont="1" applyBorder="1" applyAlignment="1" applyProtection="1">
      <alignment/>
      <protection/>
    </xf>
    <xf numFmtId="0" fontId="7" fillId="0" borderId="28" xfId="61" applyFont="1" applyBorder="1" applyProtection="1">
      <alignment/>
      <protection/>
    </xf>
    <xf numFmtId="173" fontId="12" fillId="0" borderId="74" xfId="42" applyNumberFormat="1" applyFont="1" applyBorder="1" applyAlignment="1">
      <alignment/>
    </xf>
    <xf numFmtId="0" fontId="28" fillId="0" borderId="0" xfId="59" applyFont="1" applyFill="1">
      <alignment/>
      <protection/>
    </xf>
    <xf numFmtId="0" fontId="1" fillId="0" borderId="0" xfId="60" applyBorder="1" applyAlignment="1">
      <alignment horizontal="left" vertical="top" indent="1"/>
      <protection/>
    </xf>
    <xf numFmtId="0" fontId="1" fillId="32" borderId="15" xfId="59" applyFill="1" applyBorder="1">
      <alignment/>
      <protection/>
    </xf>
    <xf numFmtId="0" fontId="1" fillId="0" borderId="0" xfId="60" applyFont="1" applyBorder="1" applyAlignment="1">
      <alignment horizontal="left" vertical="top" indent="1"/>
      <protection/>
    </xf>
    <xf numFmtId="0" fontId="1" fillId="0" borderId="56" xfId="60" applyFont="1" applyBorder="1" applyAlignment="1">
      <alignment horizontal="left" vertical="top" indent="1"/>
      <protection/>
    </xf>
    <xf numFmtId="173" fontId="1" fillId="0" borderId="57" xfId="42" applyNumberFormat="1" applyFont="1" applyBorder="1" applyAlignment="1">
      <alignment vertical="top"/>
    </xf>
    <xf numFmtId="173" fontId="1" fillId="0" borderId="58" xfId="42" applyNumberFormat="1" applyFont="1" applyBorder="1" applyAlignment="1">
      <alignment vertical="top"/>
    </xf>
    <xf numFmtId="0" fontId="0" fillId="32" borderId="17" xfId="0" applyFont="1" applyFill="1" applyBorder="1" applyAlignment="1">
      <alignment horizontal="center"/>
    </xf>
    <xf numFmtId="0" fontId="0" fillId="32" borderId="75" xfId="0" applyFont="1" applyFill="1" applyBorder="1" applyAlignment="1">
      <alignment/>
    </xf>
    <xf numFmtId="0" fontId="20" fillId="0" borderId="0" xfId="58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32" borderId="0" xfId="0" applyFont="1" applyFill="1" applyAlignment="1" applyProtection="1">
      <alignment horizontal="right"/>
      <protection/>
    </xf>
    <xf numFmtId="0" fontId="7" fillId="0" borderId="52" xfId="60" applyFont="1" applyFill="1" applyBorder="1" applyAlignment="1">
      <alignment horizontal="left" vertical="top" indent="1"/>
      <protection/>
    </xf>
    <xf numFmtId="0" fontId="1" fillId="0" borderId="52" xfId="60" applyFont="1" applyFill="1" applyBorder="1" applyAlignment="1">
      <alignment horizontal="left" vertical="top" indent="1"/>
      <protection/>
    </xf>
    <xf numFmtId="0" fontId="1" fillId="0" borderId="64" xfId="0" applyFont="1" applyBorder="1" applyAlignment="1">
      <alignment/>
    </xf>
    <xf numFmtId="0" fontId="1" fillId="0" borderId="64" xfId="0" applyFont="1" applyBorder="1" applyAlignment="1">
      <alignment/>
    </xf>
    <xf numFmtId="0" fontId="36" fillId="35" borderId="52" xfId="60" applyFont="1" applyFill="1" applyBorder="1" applyAlignment="1">
      <alignment horizontal="left" vertical="top" indent="2"/>
      <protection/>
    </xf>
    <xf numFmtId="169" fontId="36" fillId="35" borderId="64" xfId="44" applyNumberFormat="1" applyFont="1" applyFill="1" applyBorder="1" applyAlignment="1">
      <alignment vertical="top"/>
    </xf>
    <xf numFmtId="9" fontId="28" fillId="35" borderId="65" xfId="64" applyFont="1" applyFill="1" applyBorder="1" applyAlignment="1">
      <alignment vertical="top"/>
    </xf>
    <xf numFmtId="9" fontId="1" fillId="35" borderId="65" xfId="64" applyFont="1" applyFill="1" applyBorder="1" applyAlignment="1">
      <alignment vertical="top"/>
    </xf>
    <xf numFmtId="9" fontId="36" fillId="0" borderId="65" xfId="64" applyFont="1" applyFill="1" applyBorder="1" applyAlignment="1">
      <alignment vertical="top"/>
    </xf>
    <xf numFmtId="9" fontId="36" fillId="35" borderId="65" xfId="64" applyFont="1" applyFill="1" applyBorder="1" applyAlignment="1">
      <alignment vertical="top"/>
    </xf>
    <xf numFmtId="9" fontId="1" fillId="0" borderId="73" xfId="64" applyFont="1" applyBorder="1" applyAlignment="1">
      <alignment vertical="top"/>
    </xf>
    <xf numFmtId="0" fontId="1" fillId="0" borderId="70" xfId="60" applyBorder="1">
      <alignment/>
      <protection/>
    </xf>
    <xf numFmtId="0" fontId="1" fillId="0" borderId="76" xfId="60" applyBorder="1">
      <alignment/>
      <protection/>
    </xf>
    <xf numFmtId="169" fontId="37" fillId="0" borderId="76" xfId="44" applyNumberFormat="1" applyFont="1" applyFill="1" applyBorder="1" applyAlignment="1">
      <alignment vertical="top"/>
    </xf>
    <xf numFmtId="169" fontId="37" fillId="0" borderId="0" xfId="44" applyNumberFormat="1" applyFont="1" applyFill="1" applyBorder="1" applyAlignment="1">
      <alignment vertical="top" wrapText="1"/>
    </xf>
    <xf numFmtId="9" fontId="43" fillId="33" borderId="70" xfId="64" applyFont="1" applyFill="1" applyBorder="1" applyAlignment="1">
      <alignment horizontal="center" vertical="top"/>
    </xf>
    <xf numFmtId="9" fontId="1" fillId="0" borderId="0" xfId="64" applyFont="1" applyAlignment="1">
      <alignment vertical="top"/>
    </xf>
    <xf numFmtId="9" fontId="1" fillId="0" borderId="54" xfId="64" applyFont="1" applyBorder="1" applyAlignment="1">
      <alignment horizontal="center" vertical="top"/>
    </xf>
    <xf numFmtId="9" fontId="28" fillId="0" borderId="58" xfId="64" applyFont="1" applyBorder="1" applyAlignment="1">
      <alignment horizontal="center" vertical="top"/>
    </xf>
    <xf numFmtId="9" fontId="28" fillId="33" borderId="54" xfId="64" applyFont="1" applyFill="1" applyBorder="1" applyAlignment="1">
      <alignment horizontal="center" vertical="top"/>
    </xf>
    <xf numFmtId="9" fontId="28" fillId="0" borderId="54" xfId="64" applyFont="1" applyBorder="1" applyAlignment="1">
      <alignment horizontal="center" vertical="top"/>
    </xf>
    <xf numFmtId="9" fontId="28" fillId="33" borderId="77" xfId="64" applyFont="1" applyFill="1" applyBorder="1" applyAlignment="1">
      <alignment horizontal="center" vertical="top"/>
    </xf>
    <xf numFmtId="9" fontId="1" fillId="33" borderId="70" xfId="64" applyFont="1" applyFill="1" applyBorder="1" applyAlignment="1">
      <alignment vertical="top"/>
    </xf>
    <xf numFmtId="9" fontId="1" fillId="0" borderId="65" xfId="64" applyFont="1" applyFill="1" applyBorder="1" applyAlignment="1">
      <alignment vertical="top"/>
    </xf>
    <xf numFmtId="9" fontId="1" fillId="0" borderId="58" xfId="64" applyFont="1" applyBorder="1" applyAlignment="1">
      <alignment vertical="top"/>
    </xf>
    <xf numFmtId="9" fontId="1" fillId="0" borderId="70" xfId="64" applyFont="1" applyFill="1" applyBorder="1" applyAlignment="1">
      <alignment vertical="top"/>
    </xf>
    <xf numFmtId="9" fontId="43" fillId="33" borderId="69" xfId="64" applyFont="1" applyFill="1" applyBorder="1" applyAlignment="1">
      <alignment horizontal="center" vertical="top"/>
    </xf>
    <xf numFmtId="9" fontId="1" fillId="0" borderId="65" xfId="64" applyFont="1" applyBorder="1" applyAlignment="1">
      <alignment vertical="top" wrapText="1"/>
    </xf>
    <xf numFmtId="9" fontId="38" fillId="35" borderId="65" xfId="64" applyFont="1" applyFill="1" applyBorder="1" applyAlignment="1">
      <alignment vertical="top"/>
    </xf>
    <xf numFmtId="9" fontId="43" fillId="0" borderId="70" xfId="64" applyFont="1" applyBorder="1" applyAlignment="1">
      <alignment vertical="top"/>
    </xf>
    <xf numFmtId="9" fontId="44" fillId="0" borderId="70" xfId="64" applyFont="1" applyBorder="1" applyAlignment="1">
      <alignment horizontal="center" vertical="top"/>
    </xf>
    <xf numFmtId="9" fontId="44" fillId="33" borderId="70" xfId="64" applyFont="1" applyFill="1" applyBorder="1" applyAlignment="1">
      <alignment horizontal="center" vertical="top"/>
    </xf>
    <xf numFmtId="173" fontId="44" fillId="33" borderId="68" xfId="42" applyNumberFormat="1" applyFont="1" applyFill="1" applyBorder="1" applyAlignment="1">
      <alignment vertical="top"/>
    </xf>
    <xf numFmtId="173" fontId="1" fillId="35" borderId="70" xfId="42" applyNumberFormat="1" applyFont="1" applyFill="1" applyBorder="1" applyAlignment="1">
      <alignment vertical="top"/>
    </xf>
    <xf numFmtId="169" fontId="0" fillId="0" borderId="0" xfId="44" applyNumberFormat="1" applyFont="1" applyBorder="1" applyAlignment="1">
      <alignment/>
    </xf>
    <xf numFmtId="5" fontId="0" fillId="0" borderId="0" xfId="44" applyNumberFormat="1" applyFont="1" applyBorder="1" applyAlignment="1">
      <alignment/>
    </xf>
    <xf numFmtId="173" fontId="0" fillId="0" borderId="0" xfId="42" applyNumberFormat="1" applyFont="1" applyAlignment="1">
      <alignment/>
    </xf>
    <xf numFmtId="9" fontId="0" fillId="0" borderId="28" xfId="64" applyFont="1" applyBorder="1" applyAlignment="1">
      <alignment/>
    </xf>
    <xf numFmtId="173" fontId="0" fillId="0" borderId="0" xfId="42" applyNumberFormat="1" applyFont="1" applyBorder="1" applyAlignment="1">
      <alignment/>
    </xf>
    <xf numFmtId="9" fontId="0" fillId="0" borderId="35" xfId="64" applyFont="1" applyBorder="1" applyAlignment="1">
      <alignment/>
    </xf>
    <xf numFmtId="173" fontId="0" fillId="0" borderId="33" xfId="42" applyNumberFormat="1" applyFont="1" applyBorder="1" applyAlignment="1">
      <alignment/>
    </xf>
    <xf numFmtId="173" fontId="0" fillId="0" borderId="35" xfId="42" applyNumberFormat="1" applyFont="1" applyBorder="1" applyAlignment="1">
      <alignment/>
    </xf>
    <xf numFmtId="173" fontId="1" fillId="0" borderId="70" xfId="42" applyNumberFormat="1" applyFont="1" applyBorder="1" applyAlignment="1">
      <alignment vertical="top"/>
    </xf>
    <xf numFmtId="0" fontId="39" fillId="0" borderId="76" xfId="60" applyFont="1" applyBorder="1" applyAlignment="1">
      <alignment wrapText="1"/>
      <protection/>
    </xf>
    <xf numFmtId="0" fontId="39" fillId="0" borderId="0" xfId="60" applyFont="1" applyBorder="1" applyAlignment="1">
      <alignment wrapText="1"/>
      <protection/>
    </xf>
    <xf numFmtId="169" fontId="1" fillId="0" borderId="64" xfId="44" applyNumberFormat="1" applyFont="1" applyFill="1" applyBorder="1" applyAlignment="1">
      <alignment vertical="top"/>
    </xf>
    <xf numFmtId="0" fontId="45" fillId="0" borderId="0" xfId="0" applyFont="1" applyAlignment="1" applyProtection="1">
      <alignment horizontal="centerContinuous"/>
      <protection/>
    </xf>
    <xf numFmtId="0" fontId="45" fillId="0" borderId="0" xfId="0" applyFont="1" applyAlignment="1" applyProtection="1">
      <alignment/>
      <protection/>
    </xf>
    <xf numFmtId="0" fontId="35" fillId="0" borderId="0" xfId="0" applyFont="1" applyAlignment="1">
      <alignment/>
    </xf>
    <xf numFmtId="0" fontId="46" fillId="32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Continuous"/>
      <protection locked="0"/>
    </xf>
    <xf numFmtId="0" fontId="47" fillId="0" borderId="0" xfId="0" applyFont="1" applyAlignment="1" applyProtection="1">
      <alignment/>
      <protection locked="0"/>
    </xf>
    <xf numFmtId="5" fontId="45" fillId="0" borderId="0" xfId="0" applyNumberFormat="1" applyFont="1" applyAlignment="1" applyProtection="1">
      <alignment horizontal="center"/>
      <protection/>
    </xf>
    <xf numFmtId="5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170" fontId="45" fillId="0" borderId="0" xfId="0" applyNumberFormat="1" applyFont="1" applyAlignment="1" applyProtection="1">
      <alignment/>
      <protection/>
    </xf>
    <xf numFmtId="10" fontId="47" fillId="0" borderId="0" xfId="64" applyNumberFormat="1" applyFont="1" applyAlignment="1" applyProtection="1">
      <alignment/>
      <protection locked="0"/>
    </xf>
    <xf numFmtId="37" fontId="45" fillId="0" borderId="0" xfId="0" applyNumberFormat="1" applyFont="1" applyAlignment="1" applyProtection="1">
      <alignment/>
      <protection/>
    </xf>
    <xf numFmtId="10" fontId="45" fillId="0" borderId="0" xfId="0" applyNumberFormat="1" applyFont="1" applyAlignment="1" applyProtection="1">
      <alignment/>
      <protection/>
    </xf>
    <xf numFmtId="10" fontId="47" fillId="0" borderId="0" xfId="0" applyNumberFormat="1" applyFont="1" applyAlignment="1" applyProtection="1">
      <alignment/>
      <protection locked="0"/>
    </xf>
    <xf numFmtId="37" fontId="45" fillId="0" borderId="0" xfId="0" applyNumberFormat="1" applyFont="1" applyAlignment="1" applyProtection="1">
      <alignment horizontal="fill"/>
      <protection/>
    </xf>
    <xf numFmtId="9" fontId="47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/>
    </xf>
    <xf numFmtId="5" fontId="46" fillId="0" borderId="0" xfId="0" applyNumberFormat="1" applyFont="1" applyAlignment="1" applyProtection="1">
      <alignment/>
      <protection/>
    </xf>
    <xf numFmtId="170" fontId="46" fillId="0" borderId="0" xfId="0" applyNumberFormat="1" applyFont="1" applyAlignment="1" applyProtection="1">
      <alignment/>
      <protection/>
    </xf>
    <xf numFmtId="5" fontId="45" fillId="0" borderId="0" xfId="0" applyNumberFormat="1" applyFont="1" applyAlignment="1" applyProtection="1">
      <alignment horizontal="right"/>
      <protection/>
    </xf>
    <xf numFmtId="7" fontId="47" fillId="0" borderId="0" xfId="0" applyNumberFormat="1" applyFont="1" applyAlignment="1" applyProtection="1">
      <alignment/>
      <protection locked="0"/>
    </xf>
    <xf numFmtId="37" fontId="47" fillId="0" borderId="0" xfId="0" applyNumberFormat="1" applyFont="1" applyAlignment="1" applyProtection="1">
      <alignment/>
      <protection locked="0"/>
    </xf>
    <xf numFmtId="10" fontId="45" fillId="0" borderId="0" xfId="0" applyNumberFormat="1" applyFont="1" applyAlignment="1" applyProtection="1">
      <alignment horizontal="right"/>
      <protection/>
    </xf>
    <xf numFmtId="0" fontId="47" fillId="0" borderId="0" xfId="0" applyFont="1" applyAlignment="1" applyProtection="1">
      <alignment horizontal="right"/>
      <protection locked="0"/>
    </xf>
    <xf numFmtId="5" fontId="47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165" fontId="45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0" fontId="46" fillId="0" borderId="0" xfId="0" applyNumberFormat="1" applyFont="1" applyAlignment="1" applyProtection="1">
      <alignment horizontal="centerContinuous"/>
      <protection/>
    </xf>
    <xf numFmtId="3" fontId="45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170" fontId="45" fillId="0" borderId="0" xfId="0" applyNumberFormat="1" applyFont="1" applyAlignment="1" applyProtection="1">
      <alignment horizontal="centerContinuous"/>
      <protection/>
    </xf>
    <xf numFmtId="10" fontId="48" fillId="0" borderId="0" xfId="64" applyNumberFormat="1" applyFont="1" applyAlignment="1" applyProtection="1">
      <alignment/>
      <protection/>
    </xf>
    <xf numFmtId="170" fontId="45" fillId="0" borderId="0" xfId="0" applyNumberFormat="1" applyFont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/>
      <protection/>
    </xf>
    <xf numFmtId="0" fontId="45" fillId="0" borderId="18" xfId="0" applyFont="1" applyBorder="1" applyAlignment="1" applyProtection="1">
      <alignment/>
      <protection/>
    </xf>
    <xf numFmtId="0" fontId="45" fillId="0" borderId="45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170" fontId="45" fillId="32" borderId="78" xfId="0" applyNumberFormat="1" applyFont="1" applyFill="1" applyBorder="1" applyAlignment="1" applyProtection="1">
      <alignment horizontal="right" wrapText="1"/>
      <protection/>
    </xf>
    <xf numFmtId="0" fontId="45" fillId="0" borderId="10" xfId="0" applyFont="1" applyBorder="1" applyAlignment="1" applyProtection="1">
      <alignment/>
      <protection/>
    </xf>
    <xf numFmtId="170" fontId="45" fillId="0" borderId="78" xfId="0" applyNumberFormat="1" applyFont="1" applyBorder="1" applyAlignment="1" applyProtection="1">
      <alignment horizontal="center" wrapText="1"/>
      <protection/>
    </xf>
    <xf numFmtId="0" fontId="49" fillId="0" borderId="79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170" fontId="45" fillId="0" borderId="78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79" xfId="0" applyFont="1" applyBorder="1" applyAlignment="1" applyProtection="1">
      <alignment/>
      <protection/>
    </xf>
    <xf numFmtId="170" fontId="46" fillId="32" borderId="12" xfId="0" applyNumberFormat="1" applyFont="1" applyFill="1" applyBorder="1" applyAlignment="1" applyProtection="1">
      <alignment/>
      <protection/>
    </xf>
    <xf numFmtId="172" fontId="45" fillId="0" borderId="13" xfId="0" applyNumberFormat="1" applyFont="1" applyFill="1" applyBorder="1" applyAlignment="1" applyProtection="1">
      <alignment/>
      <protection/>
    </xf>
    <xf numFmtId="10" fontId="45" fillId="0" borderId="13" xfId="0" applyNumberFormat="1" applyFont="1" applyFill="1" applyBorder="1" applyAlignment="1" applyProtection="1">
      <alignment/>
      <protection/>
    </xf>
    <xf numFmtId="170" fontId="45" fillId="0" borderId="78" xfId="0" applyNumberFormat="1" applyFont="1" applyBorder="1" applyAlignment="1" applyProtection="1">
      <alignment/>
      <protection/>
    </xf>
    <xf numFmtId="10" fontId="45" fillId="0" borderId="0" xfId="0" applyNumberFormat="1" applyFont="1" applyFill="1" applyBorder="1" applyAlignment="1" applyProtection="1">
      <alignment/>
      <protection/>
    </xf>
    <xf numFmtId="0" fontId="49" fillId="0" borderId="79" xfId="0" applyFont="1" applyBorder="1" applyAlignment="1" applyProtection="1">
      <alignment/>
      <protection/>
    </xf>
    <xf numFmtId="170" fontId="45" fillId="0" borderId="13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 quotePrefix="1">
      <alignment/>
      <protection/>
    </xf>
    <xf numFmtId="170" fontId="46" fillId="0" borderId="78" xfId="0" applyNumberFormat="1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7" fontId="45" fillId="0" borderId="0" xfId="0" applyNumberFormat="1" applyFont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41" fontId="45" fillId="0" borderId="0" xfId="0" applyNumberFormat="1" applyFont="1" applyBorder="1" applyAlignment="1" applyProtection="1">
      <alignment/>
      <protection/>
    </xf>
    <xf numFmtId="179" fontId="45" fillId="0" borderId="0" xfId="0" applyNumberFormat="1" applyFont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41" fontId="45" fillId="0" borderId="0" xfId="0" applyNumberFormat="1" applyFont="1" applyFill="1" applyBorder="1" applyAlignment="1" applyProtection="1">
      <alignment/>
      <protection/>
    </xf>
    <xf numFmtId="0" fontId="45" fillId="0" borderId="12" xfId="0" applyFont="1" applyBorder="1" applyAlignment="1" applyProtection="1">
      <alignment horizontal="left" indent="1"/>
      <protection/>
    </xf>
    <xf numFmtId="173" fontId="45" fillId="0" borderId="13" xfId="0" applyNumberFormat="1" applyFont="1" applyBorder="1" applyAlignment="1" applyProtection="1">
      <alignment/>
      <protection/>
    </xf>
    <xf numFmtId="170" fontId="45" fillId="32" borderId="78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 indent="1"/>
    </xf>
    <xf numFmtId="5" fontId="45" fillId="0" borderId="13" xfId="0" applyNumberFormat="1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9" fontId="35" fillId="32" borderId="0" xfId="64" applyFont="1" applyFill="1" applyAlignment="1">
      <alignment/>
    </xf>
    <xf numFmtId="10" fontId="45" fillId="0" borderId="0" xfId="0" applyNumberFormat="1" applyFont="1" applyBorder="1" applyAlignment="1" applyProtection="1">
      <alignment/>
      <protection/>
    </xf>
    <xf numFmtId="41" fontId="51" fillId="0" borderId="78" xfId="0" applyNumberFormat="1" applyFont="1" applyFill="1" applyBorder="1" applyAlignment="1" applyProtection="1">
      <alignment/>
      <protection/>
    </xf>
    <xf numFmtId="7" fontId="45" fillId="0" borderId="0" xfId="0" applyNumberFormat="1" applyFont="1" applyBorder="1" applyAlignment="1" applyProtection="1">
      <alignment/>
      <protection/>
    </xf>
    <xf numFmtId="0" fontId="52" fillId="0" borderId="12" xfId="0" applyFont="1" applyBorder="1" applyAlignment="1" applyProtection="1">
      <alignment horizontal="right"/>
      <protection/>
    </xf>
    <xf numFmtId="170" fontId="46" fillId="0" borderId="78" xfId="0" applyNumberFormat="1" applyFont="1" applyFill="1" applyBorder="1" applyAlignment="1" applyProtection="1">
      <alignment/>
      <protection/>
    </xf>
    <xf numFmtId="5" fontId="45" fillId="0" borderId="10" xfId="0" applyNumberFormat="1" applyFont="1" applyBorder="1" applyAlignment="1" applyProtection="1">
      <alignment/>
      <protection/>
    </xf>
    <xf numFmtId="10" fontId="35" fillId="0" borderId="0" xfId="64" applyNumberFormat="1" applyFont="1" applyAlignment="1">
      <alignment/>
    </xf>
    <xf numFmtId="0" fontId="35" fillId="0" borderId="0" xfId="0" applyFont="1" applyBorder="1" applyAlignment="1">
      <alignment/>
    </xf>
    <xf numFmtId="168" fontId="45" fillId="0" borderId="0" xfId="0" applyNumberFormat="1" applyFont="1" applyBorder="1" applyAlignment="1" applyProtection="1">
      <alignment/>
      <protection/>
    </xf>
    <xf numFmtId="170" fontId="45" fillId="0" borderId="0" xfId="0" applyNumberFormat="1" applyFont="1" applyBorder="1" applyAlignment="1" applyProtection="1">
      <alignment/>
      <protection/>
    </xf>
    <xf numFmtId="37" fontId="45" fillId="0" borderId="0" xfId="0" applyNumberFormat="1" applyFont="1" applyBorder="1" applyAlignment="1" applyProtection="1">
      <alignment/>
      <protection/>
    </xf>
    <xf numFmtId="0" fontId="45" fillId="0" borderId="79" xfId="0" applyFont="1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35" fillId="0" borderId="0" xfId="0" applyFont="1" applyBorder="1" applyAlignment="1">
      <alignment/>
    </xf>
    <xf numFmtId="5" fontId="45" fillId="0" borderId="0" xfId="0" applyNumberFormat="1" applyFont="1" applyBorder="1" applyAlignment="1" applyProtection="1">
      <alignment/>
      <protection/>
    </xf>
    <xf numFmtId="0" fontId="35" fillId="0" borderId="79" xfId="0" applyFont="1" applyBorder="1" applyAlignment="1">
      <alignment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169" fontId="35" fillId="0" borderId="0" xfId="44" applyNumberFormat="1" applyFont="1" applyBorder="1" applyAlignment="1">
      <alignment/>
    </xf>
    <xf numFmtId="0" fontId="49" fillId="0" borderId="79" xfId="0" applyFont="1" applyFill="1" applyBorder="1" applyAlignment="1" applyProtection="1">
      <alignment/>
      <protection/>
    </xf>
    <xf numFmtId="170" fontId="45" fillId="32" borderId="80" xfId="0" applyNumberFormat="1" applyFont="1" applyFill="1" applyBorder="1" applyAlignment="1" applyProtection="1">
      <alignment/>
      <protection/>
    </xf>
    <xf numFmtId="0" fontId="46" fillId="0" borderId="79" xfId="0" applyFont="1" applyFill="1" applyBorder="1" applyAlignment="1" applyProtection="1">
      <alignment/>
      <protection/>
    </xf>
    <xf numFmtId="170" fontId="29" fillId="0" borderId="0" xfId="0" applyNumberFormat="1" applyFont="1" applyAlignment="1">
      <alignment/>
    </xf>
    <xf numFmtId="0" fontId="35" fillId="0" borderId="0" xfId="0" applyFont="1" applyBorder="1" applyAlignment="1">
      <alignment horizontal="center"/>
    </xf>
    <xf numFmtId="170" fontId="35" fillId="32" borderId="78" xfId="0" applyNumberFormat="1" applyFont="1" applyFill="1" applyBorder="1" applyAlignment="1" applyProtection="1">
      <alignment/>
      <protection/>
    </xf>
    <xf numFmtId="10" fontId="45" fillId="0" borderId="0" xfId="0" applyNumberFormat="1" applyFont="1" applyBorder="1" applyAlignment="1" applyProtection="1">
      <alignment/>
      <protection/>
    </xf>
    <xf numFmtId="10" fontId="45" fillId="0" borderId="10" xfId="0" applyNumberFormat="1" applyFont="1" applyBorder="1" applyAlignment="1" applyProtection="1">
      <alignment/>
      <protection/>
    </xf>
    <xf numFmtId="10" fontId="45" fillId="0" borderId="13" xfId="0" applyNumberFormat="1" applyFont="1" applyBorder="1" applyAlignment="1" applyProtection="1">
      <alignment/>
      <protection/>
    </xf>
    <xf numFmtId="9" fontId="45" fillId="0" borderId="0" xfId="0" applyNumberFormat="1" applyFont="1" applyBorder="1" applyAlignment="1" applyProtection="1">
      <alignment/>
      <protection/>
    </xf>
    <xf numFmtId="10" fontId="45" fillId="0" borderId="0" xfId="0" applyNumberFormat="1" applyFont="1" applyBorder="1" applyAlignment="1" applyProtection="1">
      <alignment horizontal="center"/>
      <protection/>
    </xf>
    <xf numFmtId="39" fontId="45" fillId="0" borderId="0" xfId="0" applyNumberFormat="1" applyFont="1" applyBorder="1" applyAlignment="1" applyProtection="1">
      <alignment horizontal="center"/>
      <protection/>
    </xf>
    <xf numFmtId="10" fontId="49" fillId="0" borderId="0" xfId="0" applyNumberFormat="1" applyFont="1" applyFill="1" applyBorder="1" applyAlignment="1" applyProtection="1">
      <alignment/>
      <protection/>
    </xf>
    <xf numFmtId="0" fontId="45" fillId="0" borderId="81" xfId="0" applyFont="1" applyFill="1" applyBorder="1" applyAlignment="1" applyProtection="1">
      <alignment/>
      <protection/>
    </xf>
    <xf numFmtId="0" fontId="49" fillId="0" borderId="81" xfId="0" applyFont="1" applyFill="1" applyBorder="1" applyAlignment="1" applyProtection="1">
      <alignment/>
      <protection/>
    </xf>
    <xf numFmtId="39" fontId="53" fillId="0" borderId="0" xfId="0" applyNumberFormat="1" applyFont="1" applyBorder="1" applyAlignment="1" applyProtection="1">
      <alignment horizontal="center"/>
      <protection/>
    </xf>
    <xf numFmtId="170" fontId="49" fillId="0" borderId="78" xfId="0" applyNumberFormat="1" applyFont="1" applyFill="1" applyBorder="1" applyAlignment="1" applyProtection="1">
      <alignment/>
      <protection/>
    </xf>
    <xf numFmtId="5" fontId="46" fillId="0" borderId="0" xfId="0" applyNumberFormat="1" applyFont="1" applyBorder="1" applyAlignment="1" applyProtection="1">
      <alignment/>
      <protection/>
    </xf>
    <xf numFmtId="10" fontId="45" fillId="32" borderId="13" xfId="0" applyNumberFormat="1" applyFont="1" applyFill="1" applyBorder="1" applyAlignment="1" applyProtection="1">
      <alignment/>
      <protection/>
    </xf>
    <xf numFmtId="42" fontId="45" fillId="0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9" fontId="45" fillId="0" borderId="0" xfId="42" applyNumberFormat="1" applyFont="1" applyBorder="1" applyAlignment="1" applyProtection="1">
      <alignment/>
      <protection/>
    </xf>
    <xf numFmtId="6" fontId="45" fillId="32" borderId="13" xfId="0" applyNumberFormat="1" applyFont="1" applyFill="1" applyBorder="1" applyAlignment="1" applyProtection="1">
      <alignment/>
      <protection/>
    </xf>
    <xf numFmtId="39" fontId="35" fillId="0" borderId="0" xfId="0" applyNumberFormat="1" applyFont="1" applyBorder="1" applyAlignment="1">
      <alignment/>
    </xf>
    <xf numFmtId="0" fontId="45" fillId="0" borderId="79" xfId="0" applyFont="1" applyBorder="1" applyAlignment="1" applyProtection="1">
      <alignment/>
      <protection/>
    </xf>
    <xf numFmtId="170" fontId="45" fillId="32" borderId="13" xfId="0" applyNumberFormat="1" applyFont="1" applyFill="1" applyBorder="1" applyAlignment="1" applyProtection="1">
      <alignment/>
      <protection/>
    </xf>
    <xf numFmtId="170" fontId="45" fillId="0" borderId="78" xfId="0" applyNumberFormat="1" applyFont="1" applyFill="1" applyBorder="1" applyAlignment="1" applyProtection="1">
      <alignment/>
      <protection/>
    </xf>
    <xf numFmtId="170" fontId="45" fillId="32" borderId="78" xfId="0" applyNumberFormat="1" applyFont="1" applyFill="1" applyBorder="1" applyAlignment="1" applyProtection="1">
      <alignment/>
      <protection/>
    </xf>
    <xf numFmtId="9" fontId="45" fillId="0" borderId="13" xfId="0" applyNumberFormat="1" applyFont="1" applyBorder="1" applyAlignment="1" applyProtection="1">
      <alignment/>
      <protection/>
    </xf>
    <xf numFmtId="170" fontId="49" fillId="32" borderId="78" xfId="0" applyNumberFormat="1" applyFont="1" applyFill="1" applyBorder="1" applyAlignment="1" applyProtection="1">
      <alignment/>
      <protection/>
    </xf>
    <xf numFmtId="0" fontId="46" fillId="0" borderId="79" xfId="0" applyFont="1" applyBorder="1" applyAlignment="1" applyProtection="1">
      <alignment/>
      <protection/>
    </xf>
    <xf numFmtId="170" fontId="29" fillId="0" borderId="78" xfId="0" applyNumberFormat="1" applyFont="1" applyFill="1" applyBorder="1" applyAlignment="1">
      <alignment/>
    </xf>
    <xf numFmtId="170" fontId="49" fillId="0" borderId="78" xfId="0" applyNumberFormat="1" applyFont="1" applyBorder="1" applyAlignment="1" applyProtection="1">
      <alignment/>
      <protection/>
    </xf>
    <xf numFmtId="168" fontId="45" fillId="0" borderId="0" xfId="0" applyNumberFormat="1" applyFont="1" applyBorder="1" applyAlignment="1" applyProtection="1">
      <alignment/>
      <protection/>
    </xf>
    <xf numFmtId="168" fontId="45" fillId="0" borderId="10" xfId="0" applyNumberFormat="1" applyFont="1" applyBorder="1" applyAlignment="1" applyProtection="1">
      <alignment/>
      <protection/>
    </xf>
    <xf numFmtId="0" fontId="45" fillId="0" borderId="82" xfId="0" applyFont="1" applyBorder="1" applyAlignment="1" applyProtection="1">
      <alignment/>
      <protection/>
    </xf>
    <xf numFmtId="170" fontId="45" fillId="0" borderId="14" xfId="0" applyNumberFormat="1" applyFont="1" applyBorder="1" applyAlignment="1" applyProtection="1">
      <alignment/>
      <protection/>
    </xf>
    <xf numFmtId="0" fontId="45" fillId="0" borderId="19" xfId="0" applyFont="1" applyFill="1" applyBorder="1" applyAlignment="1" applyProtection="1" quotePrefix="1">
      <alignment/>
      <protection/>
    </xf>
    <xf numFmtId="169" fontId="45" fillId="32" borderId="80" xfId="44" applyNumberFormat="1" applyFont="1" applyFill="1" applyBorder="1" applyAlignment="1" applyProtection="1">
      <alignment/>
      <protection/>
    </xf>
    <xf numFmtId="168" fontId="45" fillId="0" borderId="19" xfId="0" applyNumberFormat="1" applyFont="1" applyBorder="1" applyAlignment="1" applyProtection="1">
      <alignment/>
      <protection/>
    </xf>
    <xf numFmtId="5" fontId="15" fillId="0" borderId="16" xfId="0" applyNumberFormat="1" applyFont="1" applyBorder="1" applyAlignment="1" applyProtection="1">
      <alignment/>
      <protection/>
    </xf>
    <xf numFmtId="168" fontId="35" fillId="0" borderId="0" xfId="64" applyNumberFormat="1" applyFont="1" applyAlignment="1">
      <alignment/>
    </xf>
    <xf numFmtId="0" fontId="35" fillId="0" borderId="13" xfId="0" applyFont="1" applyBorder="1" applyAlignment="1">
      <alignment/>
    </xf>
    <xf numFmtId="170" fontId="35" fillId="0" borderId="78" xfId="0" applyNumberFormat="1" applyFont="1" applyBorder="1" applyAlignment="1">
      <alignment/>
    </xf>
    <xf numFmtId="5" fontId="45" fillId="0" borderId="10" xfId="0" applyNumberFormat="1" applyFont="1" applyBorder="1" applyAlignment="1" applyProtection="1">
      <alignment/>
      <protection/>
    </xf>
    <xf numFmtId="0" fontId="46" fillId="0" borderId="83" xfId="0" applyFont="1" applyBorder="1" applyAlignment="1" applyProtection="1">
      <alignment/>
      <protection/>
    </xf>
    <xf numFmtId="0" fontId="45" fillId="0" borderId="84" xfId="0" applyFont="1" applyBorder="1" applyAlignment="1" applyProtection="1">
      <alignment/>
      <protection/>
    </xf>
    <xf numFmtId="170" fontId="45" fillId="0" borderId="50" xfId="0" applyNumberFormat="1" applyFont="1" applyBorder="1" applyAlignment="1" applyProtection="1">
      <alignment/>
      <protection/>
    </xf>
    <xf numFmtId="170" fontId="46" fillId="0" borderId="85" xfId="0" applyNumberFormat="1" applyFont="1" applyFill="1" applyBorder="1" applyAlignment="1" applyProtection="1">
      <alignment/>
      <protection/>
    </xf>
    <xf numFmtId="5" fontId="45" fillId="0" borderId="50" xfId="0" applyNumberFormat="1" applyFont="1" applyBorder="1" applyAlignment="1" applyProtection="1">
      <alignment/>
      <protection/>
    </xf>
    <xf numFmtId="5" fontId="45" fillId="0" borderId="86" xfId="0" applyNumberFormat="1" applyFont="1" applyBorder="1" applyAlignment="1" applyProtection="1">
      <alignment/>
      <protection/>
    </xf>
    <xf numFmtId="44" fontId="45" fillId="0" borderId="0" xfId="44" applyFont="1" applyAlignment="1" applyProtection="1">
      <alignment/>
      <protection/>
    </xf>
    <xf numFmtId="3" fontId="45" fillId="0" borderId="0" xfId="44" applyNumberFormat="1" applyFont="1" applyAlignment="1" applyProtection="1">
      <alignment/>
      <protection/>
    </xf>
    <xf numFmtId="0" fontId="54" fillId="0" borderId="0" xfId="0" applyFont="1" applyBorder="1" applyAlignment="1">
      <alignment/>
    </xf>
    <xf numFmtId="170" fontId="35" fillId="0" borderId="0" xfId="0" applyNumberFormat="1" applyFont="1" applyAlignment="1" quotePrefix="1">
      <alignment/>
    </xf>
    <xf numFmtId="0" fontId="45" fillId="0" borderId="0" xfId="0" applyFont="1" applyAlignment="1" applyProtection="1">
      <alignment horizontal="right"/>
      <protection/>
    </xf>
    <xf numFmtId="170" fontId="35" fillId="32" borderId="0" xfId="0" applyNumberFormat="1" applyFont="1" applyFill="1" applyAlignment="1">
      <alignment/>
    </xf>
    <xf numFmtId="170" fontId="45" fillId="32" borderId="0" xfId="0" applyNumberFormat="1" applyFont="1" applyFill="1" applyAlignment="1" applyProtection="1">
      <alignment/>
      <protection/>
    </xf>
    <xf numFmtId="170" fontId="45" fillId="0" borderId="0" xfId="44" applyNumberFormat="1" applyFont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right"/>
      <protection/>
    </xf>
    <xf numFmtId="170" fontId="45" fillId="32" borderId="0" xfId="0" applyNumberFormat="1" applyFont="1" applyFill="1" applyBorder="1" applyAlignment="1" applyProtection="1">
      <alignment/>
      <protection/>
    </xf>
    <xf numFmtId="0" fontId="45" fillId="0" borderId="19" xfId="0" applyFont="1" applyBorder="1" applyAlignment="1" applyProtection="1">
      <alignment horizontal="right"/>
      <protection/>
    </xf>
    <xf numFmtId="0" fontId="49" fillId="0" borderId="19" xfId="0" applyFont="1" applyBorder="1" applyAlignment="1" applyProtection="1">
      <alignment/>
      <protection/>
    </xf>
    <xf numFmtId="9" fontId="45" fillId="0" borderId="19" xfId="0" applyNumberFormat="1" applyFont="1" applyBorder="1" applyAlignment="1" applyProtection="1">
      <alignment/>
      <protection/>
    </xf>
    <xf numFmtId="170" fontId="45" fillId="32" borderId="87" xfId="0" applyNumberFormat="1" applyFont="1" applyFill="1" applyBorder="1" applyAlignment="1" applyProtection="1">
      <alignment/>
      <protection/>
    </xf>
    <xf numFmtId="165" fontId="45" fillId="0" borderId="10" xfId="0" applyNumberFormat="1" applyFont="1" applyBorder="1" applyAlignment="1" applyProtection="1">
      <alignment horizontal="left"/>
      <protection/>
    </xf>
    <xf numFmtId="170" fontId="46" fillId="0" borderId="0" xfId="0" applyNumberFormat="1" applyFont="1" applyAlignment="1" applyProtection="1">
      <alignment horizontal="right"/>
      <protection/>
    </xf>
    <xf numFmtId="170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170" fontId="45" fillId="0" borderId="0" xfId="0" applyNumberFormat="1" applyFont="1" applyAlignment="1" applyProtection="1">
      <alignment horizontal="right"/>
      <protection/>
    </xf>
    <xf numFmtId="10" fontId="35" fillId="0" borderId="0" xfId="0" applyNumberFormat="1" applyFont="1" applyAlignment="1">
      <alignment/>
    </xf>
    <xf numFmtId="170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170" fontId="35" fillId="0" borderId="0" xfId="0" applyNumberFormat="1" applyFont="1" applyFill="1" applyAlignment="1">
      <alignment/>
    </xf>
    <xf numFmtId="181" fontId="35" fillId="0" borderId="10" xfId="0" applyNumberFormat="1" applyFont="1" applyBorder="1" applyAlignment="1">
      <alignment/>
    </xf>
    <xf numFmtId="170" fontId="35" fillId="0" borderId="0" xfId="0" applyNumberFormat="1" applyFont="1" applyBorder="1" applyAlignment="1">
      <alignment/>
    </xf>
    <xf numFmtId="170" fontId="35" fillId="0" borderId="0" xfId="0" applyNumberFormat="1" applyFont="1" applyAlignment="1">
      <alignment horizontal="center"/>
    </xf>
    <xf numFmtId="170" fontId="35" fillId="32" borderId="0" xfId="0" applyNumberFormat="1" applyFont="1" applyFill="1" applyBorder="1" applyAlignment="1">
      <alignment/>
    </xf>
    <xf numFmtId="0" fontId="45" fillId="0" borderId="15" xfId="0" applyFont="1" applyBorder="1" applyAlignment="1" applyProtection="1">
      <alignment horizontal="right"/>
      <protection/>
    </xf>
    <xf numFmtId="0" fontId="55" fillId="0" borderId="15" xfId="0" applyFont="1" applyBorder="1" applyAlignment="1">
      <alignment/>
    </xf>
    <xf numFmtId="182" fontId="35" fillId="32" borderId="15" xfId="0" applyNumberFormat="1" applyFont="1" applyFill="1" applyBorder="1" applyAlignment="1">
      <alignment/>
    </xf>
    <xf numFmtId="0" fontId="52" fillId="0" borderId="0" xfId="0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5" fontId="55" fillId="0" borderId="0" xfId="0" applyNumberFormat="1" applyFont="1" applyBorder="1" applyAlignment="1">
      <alignment/>
    </xf>
    <xf numFmtId="170" fontId="35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5" fontId="0" fillId="0" borderId="0" xfId="0" applyNumberFormat="1" applyBorder="1" applyAlignment="1" applyProtection="1">
      <alignment/>
      <protection/>
    </xf>
    <xf numFmtId="10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5" fontId="0" fillId="0" borderId="88" xfId="0" applyNumberFormat="1" applyBorder="1" applyAlignment="1" applyProtection="1">
      <alignment horizontal="center"/>
      <protection/>
    </xf>
    <xf numFmtId="0" fontId="0" fillId="0" borderId="7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0" xfId="0" applyBorder="1" applyAlignment="1">
      <alignment horizontal="center"/>
    </xf>
    <xf numFmtId="5" fontId="0" fillId="0" borderId="76" xfId="0" applyNumberFormat="1" applyBorder="1" applyAlignment="1">
      <alignment horizontal="center"/>
    </xf>
    <xf numFmtId="5" fontId="0" fillId="0" borderId="54" xfId="0" applyNumberFormat="1" applyBorder="1" applyAlignment="1">
      <alignment horizontal="center"/>
    </xf>
    <xf numFmtId="5" fontId="0" fillId="0" borderId="60" xfId="0" applyNumberFormat="1" applyBorder="1" applyAlignment="1">
      <alignment horizontal="center"/>
    </xf>
    <xf numFmtId="9" fontId="0" fillId="0" borderId="76" xfId="64" applyFont="1" applyFill="1" applyBorder="1" applyAlignment="1">
      <alignment horizontal="center"/>
    </xf>
    <xf numFmtId="9" fontId="0" fillId="0" borderId="54" xfId="64" applyFont="1" applyFill="1" applyBorder="1" applyAlignment="1">
      <alignment horizontal="center"/>
    </xf>
    <xf numFmtId="9" fontId="0" fillId="0" borderId="60" xfId="64" applyFont="1" applyFill="1" applyBorder="1" applyAlignment="1">
      <alignment horizontal="center"/>
    </xf>
    <xf numFmtId="9" fontId="0" fillId="0" borderId="0" xfId="64" applyFont="1" applyBorder="1" applyAlignment="1">
      <alignment/>
    </xf>
    <xf numFmtId="9" fontId="0" fillId="0" borderId="0" xfId="64" applyFont="1" applyAlignment="1">
      <alignment/>
    </xf>
    <xf numFmtId="10" fontId="0" fillId="0" borderId="76" xfId="64" applyNumberFormat="1" applyFont="1" applyFill="1" applyBorder="1" applyAlignment="1">
      <alignment horizontal="center"/>
    </xf>
    <xf numFmtId="10" fontId="0" fillId="0" borderId="54" xfId="0" applyNumberFormat="1" applyFill="1" applyBorder="1" applyAlignment="1">
      <alignment horizontal="center"/>
    </xf>
    <xf numFmtId="10" fontId="0" fillId="0" borderId="60" xfId="0" applyNumberFormat="1" applyFill="1" applyBorder="1" applyAlignment="1">
      <alignment horizontal="center"/>
    </xf>
    <xf numFmtId="10" fontId="0" fillId="0" borderId="0" xfId="64" applyNumberFormat="1" applyFont="1" applyBorder="1" applyAlignment="1">
      <alignment/>
    </xf>
    <xf numFmtId="2" fontId="0" fillId="36" borderId="76" xfId="0" applyNumberFormat="1" applyFill="1" applyBorder="1" applyAlignment="1">
      <alignment horizontal="center"/>
    </xf>
    <xf numFmtId="2" fontId="0" fillId="36" borderId="54" xfId="0" applyNumberFormat="1" applyFill="1" applyBorder="1" applyAlignment="1">
      <alignment horizontal="center"/>
    </xf>
    <xf numFmtId="2" fontId="0" fillId="36" borderId="60" xfId="0" applyNumberForma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5" fontId="0" fillId="0" borderId="89" xfId="44" applyNumberFormat="1" applyFont="1" applyFill="1" applyBorder="1" applyAlignment="1">
      <alignment horizontal="center"/>
    </xf>
    <xf numFmtId="5" fontId="0" fillId="0" borderId="90" xfId="44" applyNumberFormat="1" applyFont="1" applyFill="1" applyBorder="1" applyAlignment="1">
      <alignment horizontal="center"/>
    </xf>
    <xf numFmtId="5" fontId="0" fillId="0" borderId="91" xfId="44" applyNumberFormat="1" applyFont="1" applyFill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0" xfId="44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0" fontId="35" fillId="0" borderId="0" xfId="0" applyFont="1" applyAlignment="1">
      <alignment/>
    </xf>
    <xf numFmtId="0" fontId="49" fillId="0" borderId="0" xfId="0" applyFont="1" applyAlignment="1" applyProtection="1">
      <alignment horizontal="centerContinuous"/>
      <protection/>
    </xf>
    <xf numFmtId="0" fontId="45" fillId="0" borderId="0" xfId="0" applyFont="1" applyAlignment="1" applyProtection="1">
      <alignment horizontal="centerContinuous"/>
      <protection/>
    </xf>
    <xf numFmtId="0" fontId="49" fillId="0" borderId="92" xfId="0" applyFont="1" applyBorder="1" applyAlignment="1" applyProtection="1">
      <alignment horizontal="center"/>
      <protection/>
    </xf>
    <xf numFmtId="0" fontId="49" fillId="0" borderId="93" xfId="0" applyFont="1" applyBorder="1" applyAlignment="1" applyProtection="1">
      <alignment horizontal="center"/>
      <protection/>
    </xf>
    <xf numFmtId="0" fontId="58" fillId="0" borderId="26" xfId="0" applyFont="1" applyBorder="1" applyAlignment="1">
      <alignment horizontal="center"/>
    </xf>
    <xf numFmtId="0" fontId="49" fillId="0" borderId="26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Continuous"/>
      <protection/>
    </xf>
    <xf numFmtId="0" fontId="35" fillId="0" borderId="11" xfId="0" applyFont="1" applyBorder="1" applyAlignment="1">
      <alignment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35" fillId="32" borderId="47" xfId="0" applyFont="1" applyFill="1" applyBorder="1" applyAlignment="1">
      <alignment horizontal="center"/>
    </xf>
    <xf numFmtId="0" fontId="45" fillId="0" borderId="10" xfId="0" applyFont="1" applyBorder="1" applyAlignment="1" applyProtection="1">
      <alignment horizontal="center"/>
      <protection/>
    </xf>
    <xf numFmtId="1" fontId="45" fillId="0" borderId="0" xfId="0" applyNumberFormat="1" applyFont="1" applyBorder="1" applyAlignment="1" applyProtection="1">
      <alignment horizontal="center"/>
      <protection/>
    </xf>
    <xf numFmtId="1" fontId="35" fillId="32" borderId="47" xfId="0" applyNumberFormat="1" applyFont="1" applyFill="1" applyBorder="1" applyAlignment="1">
      <alignment horizontal="center"/>
    </xf>
    <xf numFmtId="1" fontId="45" fillId="32" borderId="13" xfId="0" applyNumberFormat="1" applyFont="1" applyFill="1" applyBorder="1" applyAlignment="1" applyProtection="1">
      <alignment horizontal="center"/>
      <protection/>
    </xf>
    <xf numFmtId="0" fontId="35" fillId="32" borderId="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" fontId="45" fillId="0" borderId="13" xfId="0" applyNumberFormat="1" applyFont="1" applyFill="1" applyBorder="1" applyAlignment="1" applyProtection="1">
      <alignment horizontal="center"/>
      <protection/>
    </xf>
    <xf numFmtId="1" fontId="45" fillId="0" borderId="10" xfId="0" applyNumberFormat="1" applyFont="1" applyFill="1" applyBorder="1" applyAlignment="1" applyProtection="1">
      <alignment horizontal="center"/>
      <protection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 applyProtection="1">
      <alignment horizontal="right"/>
      <protection/>
    </xf>
    <xf numFmtId="0" fontId="35" fillId="0" borderId="16" xfId="0" applyFont="1" applyBorder="1" applyAlignment="1">
      <alignment/>
    </xf>
    <xf numFmtId="0" fontId="35" fillId="0" borderId="16" xfId="0" applyFont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centerContinuous"/>
      <protection/>
    </xf>
    <xf numFmtId="0" fontId="45" fillId="0" borderId="0" xfId="0" applyFont="1" applyFill="1" applyBorder="1" applyAlignment="1" applyProtection="1">
      <alignment/>
      <protection/>
    </xf>
    <xf numFmtId="10" fontId="35" fillId="0" borderId="0" xfId="0" applyNumberFormat="1" applyFont="1" applyFill="1" applyBorder="1" applyAlignment="1">
      <alignment/>
    </xf>
    <xf numFmtId="3" fontId="35" fillId="32" borderId="17" xfId="0" applyNumberFormat="1" applyFont="1" applyFill="1" applyBorder="1" applyAlignment="1">
      <alignment/>
    </xf>
    <xf numFmtId="0" fontId="45" fillId="0" borderId="0" xfId="0" applyFont="1" applyFill="1" applyBorder="1" applyAlignment="1" applyProtection="1">
      <alignment horizontal="left"/>
      <protection/>
    </xf>
    <xf numFmtId="9" fontId="35" fillId="32" borderId="17" xfId="64" applyFont="1" applyFill="1" applyBorder="1" applyAlignment="1">
      <alignment horizontal="center"/>
    </xf>
    <xf numFmtId="170" fontId="45" fillId="0" borderId="0" xfId="0" applyNumberFormat="1" applyFont="1" applyFill="1" applyBorder="1" applyAlignment="1" applyProtection="1">
      <alignment horizontal="centerContinuous"/>
      <protection/>
    </xf>
    <xf numFmtId="0" fontId="46" fillId="0" borderId="0" xfId="0" applyFont="1" applyAlignment="1" applyProtection="1">
      <alignment horizontal="centerContinuous"/>
      <protection/>
    </xf>
    <xf numFmtId="37" fontId="45" fillId="32" borderId="0" xfId="0" applyNumberFormat="1" applyFont="1" applyFill="1" applyAlignment="1" applyProtection="1">
      <alignment/>
      <protection/>
    </xf>
    <xf numFmtId="5" fontId="45" fillId="32" borderId="0" xfId="0" applyNumberFormat="1" applyFont="1" applyFill="1" applyAlignment="1" applyProtection="1">
      <alignment/>
      <protection/>
    </xf>
    <xf numFmtId="5" fontId="45" fillId="0" borderId="0" xfId="0" applyNumberFormat="1" applyFont="1" applyAlignment="1" applyProtection="1">
      <alignment/>
      <protection/>
    </xf>
    <xf numFmtId="37" fontId="45" fillId="0" borderId="0" xfId="0" applyNumberFormat="1" applyFont="1" applyAlignment="1" applyProtection="1">
      <alignment/>
      <protection/>
    </xf>
    <xf numFmtId="7" fontId="45" fillId="0" borderId="0" xfId="0" applyNumberFormat="1" applyFont="1" applyAlignment="1" applyProtection="1">
      <alignment/>
      <protection/>
    </xf>
    <xf numFmtId="37" fontId="45" fillId="0" borderId="0" xfId="0" applyNumberFormat="1" applyFont="1" applyAlignment="1" applyProtection="1">
      <alignment horizontal="right"/>
      <protection/>
    </xf>
    <xf numFmtId="7" fontId="45" fillId="0" borderId="0" xfId="0" applyNumberFormat="1" applyFont="1" applyAlignment="1" applyProtection="1">
      <alignment horizontal="right"/>
      <protection/>
    </xf>
    <xf numFmtId="37" fontId="45" fillId="0" borderId="0" xfId="0" applyNumberFormat="1" applyFont="1" applyFill="1" applyAlignment="1" applyProtection="1">
      <alignment/>
      <protection/>
    </xf>
    <xf numFmtId="0" fontId="35" fillId="0" borderId="0" xfId="58" applyFont="1" applyFill="1" applyBorder="1" applyAlignment="1">
      <alignment horizontal="center"/>
      <protection/>
    </xf>
    <xf numFmtId="9" fontId="35" fillId="0" borderId="0" xfId="58" applyNumberFormat="1" applyFont="1" applyFill="1" applyBorder="1" applyAlignment="1">
      <alignment horizontal="center"/>
      <protection/>
    </xf>
    <xf numFmtId="9" fontId="35" fillId="0" borderId="42" xfId="64" applyFont="1" applyFill="1" applyBorder="1" applyAlignment="1">
      <alignment horizontal="left"/>
    </xf>
    <xf numFmtId="0" fontId="35" fillId="0" borderId="42" xfId="58" applyFont="1" applyFill="1" applyBorder="1" applyAlignment="1">
      <alignment horizontal="left"/>
      <protection/>
    </xf>
    <xf numFmtId="0" fontId="35" fillId="0" borderId="42" xfId="0" applyFont="1" applyFill="1" applyBorder="1" applyAlignment="1">
      <alignment/>
    </xf>
    <xf numFmtId="43" fontId="35" fillId="0" borderId="0" xfId="58" applyNumberFormat="1" applyFont="1" applyFill="1" applyBorder="1" applyAlignment="1">
      <alignment horizontal="center"/>
      <protection/>
    </xf>
    <xf numFmtId="0" fontId="29" fillId="0" borderId="42" xfId="0" applyFont="1" applyFill="1" applyBorder="1" applyAlignment="1">
      <alignment horizontal="center"/>
    </xf>
    <xf numFmtId="3" fontId="35" fillId="0" borderId="25" xfId="0" applyNumberFormat="1" applyFont="1" applyFill="1" applyBorder="1" applyAlignment="1">
      <alignment/>
    </xf>
    <xf numFmtId="0" fontId="35" fillId="0" borderId="25" xfId="0" applyFont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5" fillId="0" borderId="0" xfId="58" applyFont="1" applyFill="1" applyBorder="1" applyAlignment="1">
      <alignment horizontal="center" wrapText="1"/>
      <protection/>
    </xf>
    <xf numFmtId="10" fontId="35" fillId="32" borderId="17" xfId="0" applyNumberFormat="1" applyFont="1" applyFill="1" applyBorder="1" applyAlignment="1">
      <alignment/>
    </xf>
    <xf numFmtId="168" fontId="35" fillId="32" borderId="17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173" fontId="35" fillId="0" borderId="0" xfId="42" applyNumberFormat="1" applyFont="1" applyFill="1" applyBorder="1" applyAlignment="1">
      <alignment/>
    </xf>
    <xf numFmtId="3" fontId="35" fillId="0" borderId="0" xfId="0" applyNumberFormat="1" applyFont="1" applyAlignment="1">
      <alignment horizontal="center"/>
    </xf>
    <xf numFmtId="0" fontId="35" fillId="0" borderId="0" xfId="58" applyFont="1" applyFill="1" applyBorder="1" applyAlignment="1">
      <alignment horizontal="right"/>
      <protection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horizontal="center"/>
    </xf>
    <xf numFmtId="9" fontId="29" fillId="32" borderId="17" xfId="64" applyFont="1" applyFill="1" applyBorder="1" applyAlignment="1">
      <alignment horizontal="right"/>
    </xf>
    <xf numFmtId="3" fontId="35" fillId="33" borderId="43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7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173" fontId="35" fillId="0" borderId="0" xfId="42" applyNumberFormat="1" applyFont="1" applyFill="1" applyBorder="1" applyAlignment="1">
      <alignment horizontal="center"/>
    </xf>
    <xf numFmtId="0" fontId="35" fillId="32" borderId="17" xfId="0" applyFont="1" applyFill="1" applyBorder="1" applyAlignment="1">
      <alignment horizontal="center"/>
    </xf>
    <xf numFmtId="1" fontId="35" fillId="0" borderId="0" xfId="0" applyNumberFormat="1" applyFont="1" applyAlignment="1">
      <alignment horizontal="center"/>
    </xf>
    <xf numFmtId="169" fontId="35" fillId="0" borderId="0" xfId="44" applyNumberFormat="1" applyFont="1" applyAlignment="1">
      <alignment horizontal="center"/>
    </xf>
    <xf numFmtId="1" fontId="35" fillId="32" borderId="17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3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/>
    </xf>
    <xf numFmtId="169" fontId="35" fillId="0" borderId="0" xfId="44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58" applyFont="1" applyFill="1" applyBorder="1" applyAlignment="1">
      <alignment horizontal="left"/>
      <protection/>
    </xf>
    <xf numFmtId="0" fontId="29" fillId="0" borderId="0" xfId="58" applyFont="1" applyFill="1" applyBorder="1" applyAlignment="1">
      <alignment horizontal="center"/>
      <protection/>
    </xf>
    <xf numFmtId="173" fontId="35" fillId="32" borderId="17" xfId="42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170" fontId="35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9" fontId="29" fillId="0" borderId="0" xfId="44" applyNumberFormat="1" applyFont="1" applyFill="1" applyBorder="1" applyAlignment="1">
      <alignment/>
    </xf>
    <xf numFmtId="0" fontId="45" fillId="0" borderId="93" xfId="0" applyFont="1" applyBorder="1" applyAlignment="1" applyProtection="1">
      <alignment/>
      <protection/>
    </xf>
    <xf numFmtId="0" fontId="46" fillId="0" borderId="93" xfId="0" applyFont="1" applyBorder="1" applyAlignment="1" applyProtection="1">
      <alignment horizontal="right"/>
      <protection/>
    </xf>
    <xf numFmtId="5" fontId="46" fillId="0" borderId="2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5" fontId="7" fillId="0" borderId="94" xfId="0" applyNumberFormat="1" applyFont="1" applyFill="1" applyBorder="1" applyAlignment="1" applyProtection="1">
      <alignment/>
      <protection/>
    </xf>
    <xf numFmtId="169" fontId="7" fillId="32" borderId="95" xfId="44" applyNumberFormat="1" applyFont="1" applyFill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5" fontId="7" fillId="0" borderId="78" xfId="0" applyNumberFormat="1" applyFont="1" applyFill="1" applyBorder="1" applyAlignment="1" applyProtection="1">
      <alignment/>
      <protection/>
    </xf>
    <xf numFmtId="169" fontId="7" fillId="32" borderId="29" xfId="44" applyNumberFormat="1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8" xfId="0" applyFont="1" applyBorder="1" applyAlignment="1" applyProtection="1" quotePrefix="1">
      <alignment/>
      <protection/>
    </xf>
    <xf numFmtId="170" fontId="7" fillId="0" borderId="78" xfId="44" applyNumberFormat="1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5" fontId="1" fillId="0" borderId="0" xfId="44" applyNumberFormat="1" applyFont="1" applyBorder="1" applyAlignment="1">
      <alignment/>
    </xf>
    <xf numFmtId="5" fontId="7" fillId="0" borderId="28" xfId="64" applyNumberFormat="1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7" fillId="0" borderId="13" xfId="0" applyFont="1" applyBorder="1" applyAlignment="1" applyProtection="1">
      <alignment horizontal="right"/>
      <protection/>
    </xf>
    <xf numFmtId="0" fontId="7" fillId="32" borderId="25" xfId="0" applyFont="1" applyFill="1" applyBorder="1" applyAlignment="1" applyProtection="1">
      <alignment horizontal="center"/>
      <protection/>
    </xf>
    <xf numFmtId="5" fontId="1" fillId="0" borderId="96" xfId="0" applyNumberFormat="1" applyFont="1" applyBorder="1" applyAlignment="1">
      <alignment/>
    </xf>
    <xf numFmtId="5" fontId="1" fillId="32" borderId="0" xfId="0" applyNumberFormat="1" applyFont="1" applyFill="1" applyBorder="1" applyAlignment="1" applyProtection="1">
      <alignment/>
      <protection/>
    </xf>
    <xf numFmtId="0" fontId="7" fillId="0" borderId="97" xfId="0" applyFont="1" applyBorder="1" applyAlignment="1" applyProtection="1">
      <alignment/>
      <protection/>
    </xf>
    <xf numFmtId="169" fontId="1" fillId="0" borderId="96" xfId="44" applyNumberFormat="1" applyFont="1" applyBorder="1" applyAlignment="1">
      <alignment/>
    </xf>
    <xf numFmtId="5" fontId="7" fillId="32" borderId="0" xfId="0" applyNumberFormat="1" applyFont="1" applyFill="1" applyBorder="1" applyAlignment="1" applyProtection="1">
      <alignment/>
      <protection/>
    </xf>
    <xf numFmtId="9" fontId="7" fillId="32" borderId="29" xfId="64" applyFont="1" applyFill="1" applyBorder="1" applyAlignment="1" applyProtection="1">
      <alignment horizontal="right"/>
      <protection/>
    </xf>
    <xf numFmtId="0" fontId="7" fillId="0" borderId="78" xfId="0" applyFont="1" applyBorder="1" applyAlignment="1" applyProtection="1">
      <alignment/>
      <protection/>
    </xf>
    <xf numFmtId="9" fontId="7" fillId="0" borderId="0" xfId="0" applyNumberFormat="1" applyFont="1" applyBorder="1" applyAlignment="1" applyProtection="1">
      <alignment/>
      <protection/>
    </xf>
    <xf numFmtId="170" fontId="7" fillId="32" borderId="29" xfId="0" applyNumberFormat="1" applyFont="1" applyFill="1" applyBorder="1" applyAlignment="1" applyProtection="1">
      <alignment/>
      <protection/>
    </xf>
    <xf numFmtId="0" fontId="7" fillId="0" borderId="78" xfId="0" applyFont="1" applyBorder="1" applyAlignment="1" applyProtection="1" quotePrefix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6" fillId="0" borderId="92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5" fontId="16" fillId="0" borderId="24" xfId="0" applyNumberFormat="1" applyFont="1" applyFill="1" applyBorder="1" applyAlignment="1" applyProtection="1">
      <alignment/>
      <protection/>
    </xf>
    <xf numFmtId="0" fontId="28" fillId="0" borderId="24" xfId="0" applyNumberFormat="1" applyFont="1" applyFill="1" applyBorder="1" applyAlignment="1">
      <alignment/>
    </xf>
    <xf numFmtId="0" fontId="7" fillId="0" borderId="24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5" fontId="16" fillId="0" borderId="12" xfId="0" applyNumberFormat="1" applyFont="1" applyFill="1" applyBorder="1" applyAlignment="1" applyProtection="1">
      <alignment/>
      <protection/>
    </xf>
    <xf numFmtId="170" fontId="28" fillId="32" borderId="0" xfId="0" applyNumberFormat="1" applyFont="1" applyFill="1" applyBorder="1" applyAlignment="1">
      <alignment/>
    </xf>
    <xf numFmtId="5" fontId="7" fillId="0" borderId="12" xfId="0" applyNumberFormat="1" applyFont="1" applyFill="1" applyBorder="1" applyAlignment="1" applyProtection="1">
      <alignment/>
      <protection/>
    </xf>
    <xf numFmtId="170" fontId="7" fillId="32" borderId="0" xfId="0" applyNumberFormat="1" applyFont="1" applyFill="1" applyBorder="1" applyAlignment="1" applyProtection="1">
      <alignment/>
      <protection/>
    </xf>
    <xf numFmtId="5" fontId="7" fillId="32" borderId="12" xfId="0" applyNumberFormat="1" applyFont="1" applyFill="1" applyBorder="1" applyAlignment="1" applyProtection="1">
      <alignment/>
      <protection/>
    </xf>
    <xf numFmtId="170" fontId="7" fillId="0" borderId="0" xfId="0" applyNumberFormat="1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5" fontId="2" fillId="0" borderId="30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5" fontId="3" fillId="0" borderId="24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5" fontId="7" fillId="0" borderId="24" xfId="0" applyNumberFormat="1" applyFont="1" applyFill="1" applyBorder="1" applyAlignment="1" applyProtection="1">
      <alignment/>
      <protection/>
    </xf>
    <xf numFmtId="170" fontId="7" fillId="0" borderId="19" xfId="0" applyNumberFormat="1" applyFont="1" applyBorder="1" applyAlignment="1" applyProtection="1">
      <alignment/>
      <protection/>
    </xf>
    <xf numFmtId="5" fontId="7" fillId="0" borderId="0" xfId="0" applyNumberFormat="1" applyFont="1" applyFill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4" fontId="7" fillId="0" borderId="0" xfId="0" applyNumberFormat="1" applyFont="1" applyBorder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0" fontId="1" fillId="0" borderId="0" xfId="0" applyFont="1" applyFill="1" applyAlignment="1">
      <alignment/>
    </xf>
    <xf numFmtId="37" fontId="60" fillId="0" borderId="0" xfId="0" applyNumberFormat="1" applyFont="1" applyAlignment="1" applyProtection="1">
      <alignment/>
      <protection/>
    </xf>
    <xf numFmtId="166" fontId="45" fillId="0" borderId="0" xfId="0" applyNumberFormat="1" applyFont="1" applyAlignment="1" applyProtection="1">
      <alignment/>
      <protection/>
    </xf>
    <xf numFmtId="37" fontId="46" fillId="0" borderId="0" xfId="0" applyNumberFormat="1" applyFont="1" applyAlignment="1" applyProtection="1">
      <alignment horizontal="center"/>
      <protection/>
    </xf>
    <xf numFmtId="37" fontId="46" fillId="0" borderId="0" xfId="0" applyNumberFormat="1" applyFont="1" applyAlignment="1" applyProtection="1">
      <alignment/>
      <protection/>
    </xf>
    <xf numFmtId="164" fontId="45" fillId="0" borderId="0" xfId="0" applyNumberFormat="1" applyFont="1" applyAlignment="1" applyProtection="1">
      <alignment/>
      <protection/>
    </xf>
    <xf numFmtId="39" fontId="45" fillId="0" borderId="0" xfId="0" applyNumberFormat="1" applyFont="1" applyAlignment="1" applyProtection="1">
      <alignment/>
      <protection/>
    </xf>
    <xf numFmtId="9" fontId="45" fillId="32" borderId="0" xfId="64" applyFont="1" applyFill="1" applyAlignment="1" applyProtection="1">
      <alignment/>
      <protection/>
    </xf>
    <xf numFmtId="10" fontId="45" fillId="0" borderId="0" xfId="0" applyNumberFormat="1" applyFont="1" applyAlignment="1" applyProtection="1">
      <alignment/>
      <protection/>
    </xf>
    <xf numFmtId="37" fontId="45" fillId="32" borderId="0" xfId="0" applyNumberFormat="1" applyFont="1" applyFill="1" applyAlignment="1" applyProtection="1">
      <alignment/>
      <protection/>
    </xf>
    <xf numFmtId="9" fontId="45" fillId="0" borderId="0" xfId="64" applyFont="1" applyFill="1" applyAlignment="1" applyProtection="1">
      <alignment/>
      <protection/>
    </xf>
    <xf numFmtId="10" fontId="45" fillId="32" borderId="0" xfId="0" applyNumberFormat="1" applyFont="1" applyFill="1" applyAlignment="1" applyProtection="1">
      <alignment/>
      <protection/>
    </xf>
    <xf numFmtId="3" fontId="46" fillId="0" borderId="0" xfId="0" applyNumberFormat="1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0" fillId="0" borderId="0" xfId="64" applyNumberFormat="1" applyFont="1" applyAlignment="1">
      <alignment/>
    </xf>
    <xf numFmtId="6" fontId="45" fillId="0" borderId="0" xfId="0" applyNumberFormat="1" applyFont="1" applyAlignment="1" applyProtection="1">
      <alignment/>
      <protection/>
    </xf>
    <xf numFmtId="8" fontId="35" fillId="0" borderId="0" xfId="0" applyNumberFormat="1" applyFont="1" applyAlignment="1">
      <alignment/>
    </xf>
    <xf numFmtId="0" fontId="35" fillId="32" borderId="0" xfId="0" applyFont="1" applyFill="1" applyAlignment="1">
      <alignment/>
    </xf>
    <xf numFmtId="5" fontId="49" fillId="0" borderId="0" xfId="0" applyNumberFormat="1" applyFont="1" applyAlignment="1" applyProtection="1">
      <alignment/>
      <protection/>
    </xf>
    <xf numFmtId="5" fontId="45" fillId="0" borderId="13" xfId="0" applyNumberFormat="1" applyFont="1" applyBorder="1" applyAlignment="1" applyProtection="1">
      <alignment horizontal="center"/>
      <protection/>
    </xf>
    <xf numFmtId="9" fontId="45" fillId="0" borderId="0" xfId="0" applyNumberFormat="1" applyFont="1" applyAlignment="1" applyProtection="1">
      <alignment/>
      <protection/>
    </xf>
    <xf numFmtId="170" fontId="45" fillId="0" borderId="0" xfId="0" applyNumberFormat="1" applyFont="1" applyAlignment="1" applyProtection="1">
      <alignment/>
      <protection/>
    </xf>
    <xf numFmtId="0" fontId="35" fillId="0" borderId="45" xfId="0" applyFont="1" applyFill="1" applyBorder="1" applyAlignment="1">
      <alignment/>
    </xf>
    <xf numFmtId="0" fontId="35" fillId="0" borderId="98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170" fontId="45" fillId="32" borderId="99" xfId="0" applyNumberFormat="1" applyFont="1" applyFill="1" applyBorder="1" applyAlignment="1" applyProtection="1">
      <alignment horizontal="center"/>
      <protection/>
    </xf>
    <xf numFmtId="170" fontId="45" fillId="32" borderId="100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35" fillId="0" borderId="12" xfId="0" applyFont="1" applyFill="1" applyBorder="1" applyAlignment="1">
      <alignment horizontal="center"/>
    </xf>
    <xf numFmtId="5" fontId="45" fillId="32" borderId="13" xfId="0" applyNumberFormat="1" applyFont="1" applyFill="1" applyBorder="1" applyAlignment="1" applyProtection="1">
      <alignment horizontal="center"/>
      <protection/>
    </xf>
    <xf numFmtId="5" fontId="45" fillId="0" borderId="10" xfId="0" applyNumberFormat="1" applyFont="1" applyFill="1" applyBorder="1" applyAlignment="1" applyProtection="1">
      <alignment horizontal="center"/>
      <protection/>
    </xf>
    <xf numFmtId="5" fontId="45" fillId="0" borderId="12" xfId="0" applyNumberFormat="1" applyFont="1" applyFill="1" applyBorder="1" applyAlignment="1" applyProtection="1">
      <alignment horizontal="center"/>
      <protection/>
    </xf>
    <xf numFmtId="164" fontId="45" fillId="0" borderId="14" xfId="0" applyNumberFormat="1" applyFont="1" applyFill="1" applyBorder="1" applyAlignment="1" applyProtection="1">
      <alignment horizontal="center"/>
      <protection/>
    </xf>
    <xf numFmtId="164" fontId="45" fillId="0" borderId="16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>
      <alignment/>
    </xf>
    <xf numFmtId="0" fontId="45" fillId="0" borderId="92" xfId="0" applyFont="1" applyBorder="1" applyAlignment="1" applyProtection="1">
      <alignment/>
      <protection/>
    </xf>
    <xf numFmtId="164" fontId="45" fillId="0" borderId="25" xfId="0" applyNumberFormat="1" applyFont="1" applyFill="1" applyBorder="1" applyAlignment="1" applyProtection="1">
      <alignment/>
      <protection/>
    </xf>
    <xf numFmtId="0" fontId="35" fillId="0" borderId="25" xfId="0" applyFont="1" applyFill="1" applyBorder="1" applyAlignment="1">
      <alignment/>
    </xf>
    <xf numFmtId="5" fontId="45" fillId="0" borderId="26" xfId="0" applyNumberFormat="1" applyFont="1" applyBorder="1" applyAlignment="1" applyProtection="1">
      <alignment/>
      <protection/>
    </xf>
    <xf numFmtId="0" fontId="45" fillId="0" borderId="30" xfId="0" applyFont="1" applyBorder="1" applyAlignment="1" applyProtection="1">
      <alignment/>
      <protection/>
    </xf>
    <xf numFmtId="164" fontId="45" fillId="0" borderId="30" xfId="0" applyNumberFormat="1" applyFont="1" applyFill="1" applyBorder="1" applyAlignment="1" applyProtection="1">
      <alignment/>
      <protection/>
    </xf>
    <xf numFmtId="9" fontId="45" fillId="0" borderId="30" xfId="64" applyNumberFormat="1" applyFont="1" applyFill="1" applyBorder="1" applyAlignment="1" applyProtection="1">
      <alignment horizontal="center"/>
      <protection/>
    </xf>
    <xf numFmtId="0" fontId="35" fillId="0" borderId="18" xfId="0" applyFont="1" applyFill="1" applyBorder="1" applyAlignment="1">
      <alignment/>
    </xf>
    <xf numFmtId="5" fontId="45" fillId="0" borderId="30" xfId="0" applyNumberFormat="1" applyFont="1" applyBorder="1" applyAlignment="1" applyProtection="1">
      <alignment/>
      <protection/>
    </xf>
    <xf numFmtId="2" fontId="45" fillId="0" borderId="0" xfId="0" applyNumberFormat="1" applyFont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5" fontId="45" fillId="0" borderId="12" xfId="0" applyNumberFormat="1" applyFont="1" applyFill="1" applyBorder="1" applyAlignment="1" applyProtection="1">
      <alignment/>
      <protection/>
    </xf>
    <xf numFmtId="170" fontId="35" fillId="0" borderId="12" xfId="0" applyNumberFormat="1" applyFont="1" applyFill="1" applyBorder="1" applyAlignment="1">
      <alignment/>
    </xf>
    <xf numFmtId="172" fontId="0" fillId="0" borderId="0" xfId="64" applyNumberFormat="1" applyFont="1" applyAlignment="1">
      <alignment/>
    </xf>
    <xf numFmtId="5" fontId="45" fillId="0" borderId="10" xfId="0" applyNumberFormat="1" applyFont="1" applyFill="1" applyBorder="1" applyAlignment="1" applyProtection="1">
      <alignment/>
      <protection/>
    </xf>
    <xf numFmtId="7" fontId="45" fillId="0" borderId="12" xfId="0" applyNumberFormat="1" applyFont="1" applyBorder="1" applyAlignment="1" applyProtection="1">
      <alignment/>
      <protection/>
    </xf>
    <xf numFmtId="37" fontId="45" fillId="0" borderId="12" xfId="0" applyNumberFormat="1" applyFont="1" applyBorder="1" applyAlignment="1" applyProtection="1">
      <alignment/>
      <protection/>
    </xf>
    <xf numFmtId="5" fontId="35" fillId="0" borderId="12" xfId="0" applyNumberFormat="1" applyFont="1" applyFill="1" applyBorder="1" applyAlignment="1" applyProtection="1">
      <alignment/>
      <protection/>
    </xf>
    <xf numFmtId="170" fontId="35" fillId="0" borderId="0" xfId="0" applyNumberFormat="1" applyFont="1" applyFill="1" applyBorder="1" applyAlignment="1">
      <alignment/>
    </xf>
    <xf numFmtId="170" fontId="45" fillId="0" borderId="12" xfId="0" applyNumberFormat="1" applyFont="1" applyBorder="1" applyAlignment="1" applyProtection="1">
      <alignment/>
      <protection/>
    </xf>
    <xf numFmtId="43" fontId="45" fillId="0" borderId="12" xfId="42" applyFont="1" applyFill="1" applyBorder="1" applyAlignment="1" applyProtection="1">
      <alignment/>
      <protection/>
    </xf>
    <xf numFmtId="180" fontId="45" fillId="0" borderId="12" xfId="64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183" fontId="45" fillId="0" borderId="12" xfId="0" applyNumberFormat="1" applyFont="1" applyBorder="1" applyAlignment="1" applyProtection="1">
      <alignment/>
      <protection/>
    </xf>
    <xf numFmtId="39" fontId="45" fillId="0" borderId="0" xfId="0" applyNumberFormat="1" applyFont="1" applyAlignment="1" applyProtection="1">
      <alignment/>
      <protection/>
    </xf>
    <xf numFmtId="0" fontId="45" fillId="0" borderId="24" xfId="0" applyFont="1" applyBorder="1" applyAlignment="1" applyProtection="1">
      <alignment/>
      <protection/>
    </xf>
    <xf numFmtId="37" fontId="45" fillId="0" borderId="24" xfId="0" applyNumberFormat="1" applyFont="1" applyBorder="1" applyAlignment="1" applyProtection="1">
      <alignment/>
      <protection/>
    </xf>
    <xf numFmtId="7" fontId="45" fillId="0" borderId="24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>
      <alignment/>
    </xf>
    <xf numFmtId="170" fontId="45" fillId="0" borderId="24" xfId="0" applyNumberFormat="1" applyFont="1" applyBorder="1" applyAlignment="1" applyProtection="1">
      <alignment/>
      <protection/>
    </xf>
    <xf numFmtId="2" fontId="45" fillId="0" borderId="0" xfId="0" applyNumberFormat="1" applyFont="1" applyAlignment="1" applyProtection="1">
      <alignment/>
      <protection/>
    </xf>
    <xf numFmtId="172" fontId="45" fillId="0" borderId="0" xfId="64" applyNumberFormat="1" applyFont="1" applyBorder="1" applyAlignment="1" applyProtection="1">
      <alignment/>
      <protection/>
    </xf>
    <xf numFmtId="167" fontId="45" fillId="0" borderId="0" xfId="0" applyNumberFormat="1" applyFont="1" applyAlignment="1" applyProtection="1">
      <alignment/>
      <protection/>
    </xf>
    <xf numFmtId="7" fontId="61" fillId="0" borderId="0" xfId="0" applyNumberFormat="1" applyFont="1" applyAlignment="1">
      <alignment/>
    </xf>
    <xf numFmtId="5" fontId="61" fillId="0" borderId="0" xfId="0" applyNumberFormat="1" applyFont="1" applyAlignment="1">
      <alignment/>
    </xf>
    <xf numFmtId="0" fontId="53" fillId="0" borderId="0" xfId="0" applyFont="1" applyAlignment="1" applyProtection="1">
      <alignment/>
      <protection/>
    </xf>
    <xf numFmtId="178" fontId="35" fillId="0" borderId="0" xfId="64" applyNumberFormat="1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169" fontId="64" fillId="0" borderId="0" xfId="44" applyNumberFormat="1" applyFont="1" applyAlignment="1">
      <alignment/>
    </xf>
    <xf numFmtId="10" fontId="0" fillId="0" borderId="0" xfId="64" applyNumberFormat="1" applyFont="1" applyAlignment="1">
      <alignment/>
    </xf>
    <xf numFmtId="10" fontId="0" fillId="0" borderId="0" xfId="0" applyNumberFormat="1" applyAlignment="1">
      <alignment/>
    </xf>
    <xf numFmtId="6" fontId="20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0" xfId="60" applyFont="1" applyAlignment="1">
      <alignment vertical="top"/>
      <protection/>
    </xf>
    <xf numFmtId="0" fontId="5" fillId="0" borderId="0" xfId="0" applyFont="1" applyAlignment="1" applyProtection="1">
      <alignment/>
      <protection/>
    </xf>
    <xf numFmtId="43" fontId="3" fillId="0" borderId="18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61" applyFont="1" applyBorder="1" applyProtection="1">
      <alignment/>
      <protection/>
    </xf>
    <xf numFmtId="0" fontId="3" fillId="0" borderId="0" xfId="61" applyFont="1" applyBorder="1" applyProtection="1">
      <alignment/>
      <protection/>
    </xf>
    <xf numFmtId="168" fontId="3" fillId="0" borderId="0" xfId="0" applyNumberFormat="1" applyFont="1" applyBorder="1" applyAlignment="1" applyProtection="1">
      <alignment/>
      <protection/>
    </xf>
    <xf numFmtId="168" fontId="3" fillId="0" borderId="10" xfId="0" applyNumberFormat="1" applyFont="1" applyBorder="1" applyAlignment="1" applyProtection="1">
      <alignment/>
      <protection/>
    </xf>
    <xf numFmtId="7" fontId="3" fillId="0" borderId="10" xfId="0" applyNumberFormat="1" applyFont="1" applyBorder="1" applyAlignment="1" applyProtection="1">
      <alignment/>
      <protection/>
    </xf>
    <xf numFmtId="169" fontId="3" fillId="0" borderId="29" xfId="44" applyNumberFormat="1" applyFont="1" applyBorder="1" applyAlignment="1" applyProtection="1">
      <alignment/>
      <protection/>
    </xf>
    <xf numFmtId="0" fontId="3" fillId="0" borderId="28" xfId="61" applyFont="1" applyBorder="1" applyProtection="1">
      <alignment/>
      <protection/>
    </xf>
    <xf numFmtId="169" fontId="0" fillId="0" borderId="29" xfId="44" applyNumberFormat="1" applyFont="1" applyBorder="1" applyAlignment="1">
      <alignment/>
    </xf>
    <xf numFmtId="0" fontId="0" fillId="0" borderId="28" xfId="61" applyFont="1" applyBorder="1">
      <alignment/>
      <protection/>
    </xf>
    <xf numFmtId="169" fontId="0" fillId="0" borderId="34" xfId="44" applyNumberFormat="1" applyFont="1" applyBorder="1" applyAlignment="1">
      <alignment/>
    </xf>
    <xf numFmtId="0" fontId="0" fillId="0" borderId="35" xfId="61" applyFont="1" applyBorder="1">
      <alignment/>
      <protection/>
    </xf>
    <xf numFmtId="0" fontId="3" fillId="0" borderId="0" xfId="0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5" fontId="31" fillId="32" borderId="0" xfId="0" applyNumberFormat="1" applyFont="1" applyFill="1" applyBorder="1" applyAlignment="1" applyProtection="1">
      <alignment/>
      <protection/>
    </xf>
    <xf numFmtId="0" fontId="31" fillId="32" borderId="0" xfId="0" applyFont="1" applyFill="1" applyBorder="1" applyAlignment="1">
      <alignment/>
    </xf>
    <xf numFmtId="168" fontId="3" fillId="0" borderId="0" xfId="0" applyNumberFormat="1" applyFont="1" applyFill="1" applyBorder="1" applyAlignment="1" applyProtection="1">
      <alignment/>
      <protection/>
    </xf>
    <xf numFmtId="173" fontId="7" fillId="0" borderId="64" xfId="42" applyNumberFormat="1" applyFont="1" applyBorder="1" applyAlignment="1">
      <alignment vertical="top"/>
    </xf>
    <xf numFmtId="9" fontId="7" fillId="0" borderId="65" xfId="64" applyFont="1" applyBorder="1" applyAlignment="1">
      <alignment vertical="top"/>
    </xf>
    <xf numFmtId="9" fontId="7" fillId="0" borderId="101" xfId="64" applyFont="1" applyBorder="1" applyAlignment="1">
      <alignment vertical="top"/>
    </xf>
    <xf numFmtId="0" fontId="65" fillId="0" borderId="56" xfId="60" applyFont="1" applyBorder="1" applyAlignment="1">
      <alignment horizontal="left" vertical="top" indent="1"/>
      <protection/>
    </xf>
    <xf numFmtId="173" fontId="65" fillId="0" borderId="57" xfId="42" applyNumberFormat="1" applyFont="1" applyBorder="1" applyAlignment="1">
      <alignment vertical="top"/>
    </xf>
    <xf numFmtId="9" fontId="65" fillId="0" borderId="58" xfId="64" applyFont="1" applyBorder="1" applyAlignment="1">
      <alignment vertical="top"/>
    </xf>
    <xf numFmtId="41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68" fontId="31" fillId="0" borderId="0" xfId="0" applyNumberFormat="1" applyFont="1" applyFill="1" applyBorder="1" applyAlignment="1" applyProtection="1">
      <alignment/>
      <protection/>
    </xf>
    <xf numFmtId="43" fontId="0" fillId="0" borderId="0" xfId="42" applyFont="1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 applyProtection="1">
      <alignment horizontal="center"/>
      <protection/>
    </xf>
    <xf numFmtId="7" fontId="3" fillId="0" borderId="10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4" fontId="3" fillId="0" borderId="16" xfId="0" applyNumberFormat="1" applyFont="1" applyBorder="1" applyAlignment="1" applyProtection="1">
      <alignment/>
      <protection/>
    </xf>
    <xf numFmtId="43" fontId="0" fillId="0" borderId="0" xfId="42" applyFont="1" applyBorder="1" applyAlignment="1">
      <alignment/>
    </xf>
    <xf numFmtId="173" fontId="2" fillId="0" borderId="17" xfId="42" applyNumberFormat="1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73" fontId="0" fillId="0" borderId="94" xfId="42" applyNumberFormat="1" applyFont="1" applyFill="1" applyBorder="1" applyAlignment="1">
      <alignment/>
    </xf>
    <xf numFmtId="173" fontId="0" fillId="0" borderId="17" xfId="42" applyNumberFormat="1" applyFont="1" applyBorder="1" applyAlignment="1">
      <alignment/>
    </xf>
    <xf numFmtId="173" fontId="12" fillId="0" borderId="42" xfId="42" applyNumberFormat="1" applyFont="1" applyBorder="1" applyAlignment="1">
      <alignment/>
    </xf>
    <xf numFmtId="11" fontId="3" fillId="0" borderId="10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>
      <alignment/>
    </xf>
    <xf numFmtId="41" fontId="3" fillId="32" borderId="13" xfId="0" applyNumberFormat="1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1" fillId="0" borderId="34" xfId="44" applyNumberFormat="1" applyFont="1" applyBorder="1" applyAlignment="1">
      <alignment/>
    </xf>
    <xf numFmtId="0" fontId="2" fillId="0" borderId="0" xfId="0" applyFont="1" applyAlignment="1" applyProtection="1">
      <alignment horizontal="right"/>
      <protection/>
    </xf>
    <xf numFmtId="9" fontId="7" fillId="0" borderId="0" xfId="64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/>
    </xf>
    <xf numFmtId="9" fontId="36" fillId="33" borderId="68" xfId="64" applyFont="1" applyFill="1" applyBorder="1" applyAlignment="1">
      <alignment vertical="top"/>
    </xf>
    <xf numFmtId="0" fontId="16" fillId="35" borderId="102" xfId="60" applyFont="1" applyFill="1" applyBorder="1" applyAlignment="1">
      <alignment horizontal="left" vertical="top" indent="1"/>
      <protection/>
    </xf>
    <xf numFmtId="173" fontId="28" fillId="35" borderId="103" xfId="42" applyNumberFormat="1" applyFont="1" applyFill="1" applyBorder="1" applyAlignment="1">
      <alignment vertical="top"/>
    </xf>
    <xf numFmtId="9" fontId="38" fillId="35" borderId="104" xfId="64" applyFont="1" applyFill="1" applyBorder="1" applyAlignment="1">
      <alignment vertical="top"/>
    </xf>
    <xf numFmtId="0" fontId="16" fillId="35" borderId="52" xfId="60" applyFont="1" applyFill="1" applyBorder="1" applyAlignment="1">
      <alignment horizontal="left" vertical="top" indent="1"/>
      <protection/>
    </xf>
    <xf numFmtId="173" fontId="28" fillId="35" borderId="64" xfId="42" applyNumberFormat="1" applyFont="1" applyFill="1" applyBorder="1" applyAlignment="1">
      <alignment vertical="top"/>
    </xf>
    <xf numFmtId="9" fontId="38" fillId="35" borderId="105" xfId="64" applyFont="1" applyFill="1" applyBorder="1" applyAlignment="1">
      <alignment vertical="top"/>
    </xf>
    <xf numFmtId="173" fontId="0" fillId="33" borderId="17" xfId="42" applyNumberFormat="1" applyFont="1" applyFill="1" applyBorder="1" applyAlignment="1">
      <alignment/>
    </xf>
    <xf numFmtId="173" fontId="0" fillId="33" borderId="78" xfId="42" applyNumberFormat="1" applyFont="1" applyFill="1" applyBorder="1" applyAlignment="1">
      <alignment/>
    </xf>
    <xf numFmtId="173" fontId="0" fillId="33" borderId="75" xfId="42" applyNumberFormat="1" applyFont="1" applyFill="1" applyBorder="1" applyAlignment="1">
      <alignment/>
    </xf>
    <xf numFmtId="173" fontId="0" fillId="33" borderId="94" xfId="42" applyNumberFormat="1" applyFont="1" applyFill="1" applyBorder="1" applyAlignment="1">
      <alignment/>
    </xf>
    <xf numFmtId="173" fontId="0" fillId="0" borderId="75" xfId="42" applyNumberFormat="1" applyFont="1" applyFill="1" applyBorder="1" applyAlignment="1">
      <alignment/>
    </xf>
    <xf numFmtId="0" fontId="0" fillId="0" borderId="78" xfId="0" applyBorder="1" applyAlignment="1">
      <alignment/>
    </xf>
    <xf numFmtId="173" fontId="0" fillId="0" borderId="78" xfId="42" applyNumberFormat="1" applyFont="1" applyFill="1" applyBorder="1" applyAlignment="1">
      <alignment/>
    </xf>
    <xf numFmtId="173" fontId="0" fillId="0" borderId="78" xfId="42" applyNumberFormat="1" applyFont="1" applyBorder="1" applyAlignment="1">
      <alignment/>
    </xf>
    <xf numFmtId="173" fontId="26" fillId="0" borderId="78" xfId="42" applyNumberFormat="1" applyFont="1" applyBorder="1" applyAlignment="1">
      <alignment/>
    </xf>
    <xf numFmtId="173" fontId="26" fillId="0" borderId="78" xfId="0" applyNumberFormat="1" applyFont="1" applyBorder="1" applyAlignment="1">
      <alignment/>
    </xf>
    <xf numFmtId="173" fontId="12" fillId="0" borderId="75" xfId="42" applyNumberFormat="1" applyFont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58" applyFont="1" applyFill="1" applyBorder="1" applyAlignment="1">
      <alignment horizontal="center" wrapText="1"/>
      <protection/>
    </xf>
    <xf numFmtId="173" fontId="3" fillId="0" borderId="10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5" fontId="45" fillId="0" borderId="0" xfId="0" applyNumberFormat="1" applyFont="1" applyBorder="1" applyAlignment="1" applyProtection="1">
      <alignment/>
      <protection/>
    </xf>
    <xf numFmtId="173" fontId="7" fillId="32" borderId="64" xfId="42" applyNumberFormat="1" applyFont="1" applyFill="1" applyBorder="1" applyAlignment="1">
      <alignment vertical="top"/>
    </xf>
    <xf numFmtId="173" fontId="7" fillId="32" borderId="106" xfId="42" applyNumberFormat="1" applyFont="1" applyFill="1" applyBorder="1" applyAlignment="1">
      <alignment vertical="top"/>
    </xf>
    <xf numFmtId="173" fontId="1" fillId="0" borderId="64" xfId="0" applyNumberFormat="1" applyFont="1" applyBorder="1" applyAlignment="1">
      <alignment/>
    </xf>
    <xf numFmtId="173" fontId="1" fillId="0" borderId="64" xfId="0" applyNumberFormat="1" applyFont="1" applyBorder="1" applyAlignment="1">
      <alignment/>
    </xf>
    <xf numFmtId="0" fontId="7" fillId="0" borderId="52" xfId="60" applyFont="1" applyFill="1" applyBorder="1" applyAlignment="1">
      <alignment vertical="top"/>
      <protection/>
    </xf>
    <xf numFmtId="43" fontId="36" fillId="0" borderId="64" xfId="42" applyFont="1" applyBorder="1" applyAlignment="1">
      <alignment vertical="top"/>
    </xf>
    <xf numFmtId="43" fontId="36" fillId="0" borderId="65" xfId="42" applyFont="1" applyBorder="1" applyAlignment="1">
      <alignment vertical="top"/>
    </xf>
    <xf numFmtId="0" fontId="2" fillId="0" borderId="19" xfId="0" applyFont="1" applyBorder="1" applyAlignment="1" applyProtection="1">
      <alignment/>
      <protection/>
    </xf>
    <xf numFmtId="0" fontId="3" fillId="0" borderId="95" xfId="0" applyFont="1" applyFill="1" applyBorder="1" applyAlignment="1" applyProtection="1">
      <alignment horizontal="centerContinuous"/>
      <protection/>
    </xf>
    <xf numFmtId="0" fontId="0" fillId="0" borderId="46" xfId="0" applyFont="1" applyBorder="1" applyAlignment="1">
      <alignment/>
    </xf>
    <xf numFmtId="0" fontId="3" fillId="0" borderId="29" xfId="0" applyFont="1" applyFill="1" applyBorder="1" applyAlignment="1" applyProtection="1">
      <alignment horizontal="centerContinuous"/>
      <protection/>
    </xf>
    <xf numFmtId="0" fontId="0" fillId="0" borderId="28" xfId="0" applyFont="1" applyBorder="1" applyAlignment="1">
      <alignment/>
    </xf>
    <xf numFmtId="0" fontId="3" fillId="0" borderId="34" xfId="0" applyFont="1" applyFill="1" applyBorder="1" applyAlignment="1" applyProtection="1">
      <alignment horizontal="centerContinuous"/>
      <protection/>
    </xf>
    <xf numFmtId="0" fontId="0" fillId="0" borderId="35" xfId="0" applyFont="1" applyBorder="1" applyAlignment="1">
      <alignment/>
    </xf>
    <xf numFmtId="0" fontId="3" fillId="0" borderId="46" xfId="0" applyFont="1" applyFill="1" applyBorder="1" applyAlignment="1" applyProtection="1">
      <alignment/>
      <protection/>
    </xf>
    <xf numFmtId="9" fontId="7" fillId="0" borderId="34" xfId="64" applyFont="1" applyFill="1" applyBorder="1" applyAlignment="1" applyProtection="1">
      <alignment horizontal="center"/>
      <protection/>
    </xf>
    <xf numFmtId="9" fontId="7" fillId="0" borderId="35" xfId="64" applyFont="1" applyFill="1" applyBorder="1" applyAlignment="1" applyProtection="1">
      <alignment horizontal="center"/>
      <protection/>
    </xf>
    <xf numFmtId="0" fontId="7" fillId="0" borderId="52" xfId="60" applyFont="1" applyFill="1" applyBorder="1" applyAlignment="1">
      <alignment horizontal="left" vertical="top" indent="1"/>
      <protection/>
    </xf>
    <xf numFmtId="169" fontId="65" fillId="0" borderId="64" xfId="44" applyNumberFormat="1" applyFont="1" applyFill="1" applyBorder="1" applyAlignment="1">
      <alignment vertical="top"/>
    </xf>
    <xf numFmtId="9" fontId="7" fillId="0" borderId="65" xfId="64" applyFont="1" applyFill="1" applyBorder="1" applyAlignment="1">
      <alignment vertical="top"/>
    </xf>
    <xf numFmtId="169" fontId="1" fillId="0" borderId="53" xfId="44" applyNumberFormat="1" applyFont="1" applyBorder="1" applyAlignment="1">
      <alignment vertical="top"/>
    </xf>
    <xf numFmtId="9" fontId="1" fillId="0" borderId="54" xfId="64" applyFont="1" applyBorder="1" applyAlignment="1">
      <alignment vertical="top"/>
    </xf>
    <xf numFmtId="0" fontId="1" fillId="0" borderId="0" xfId="60" applyFill="1" applyBorder="1">
      <alignment/>
      <protection/>
    </xf>
    <xf numFmtId="0" fontId="37" fillId="0" borderId="0" xfId="60" applyFont="1" applyFill="1" applyBorder="1">
      <alignment/>
      <protection/>
    </xf>
    <xf numFmtId="10" fontId="1" fillId="0" borderId="53" xfId="64" applyNumberFormat="1" applyFont="1" applyBorder="1" applyAlignment="1">
      <alignment vertical="top"/>
    </xf>
    <xf numFmtId="43" fontId="1" fillId="0" borderId="53" xfId="42" applyFont="1" applyBorder="1" applyAlignment="1">
      <alignment vertical="top"/>
    </xf>
    <xf numFmtId="175" fontId="1" fillId="0" borderId="53" xfId="42" applyNumberFormat="1" applyFont="1" applyBorder="1" applyAlignment="1">
      <alignment vertical="top"/>
    </xf>
    <xf numFmtId="10" fontId="1" fillId="0" borderId="53" xfId="42" applyNumberFormat="1" applyFont="1" applyBorder="1" applyAlignment="1">
      <alignment vertical="top"/>
    </xf>
    <xf numFmtId="1" fontId="3" fillId="32" borderId="32" xfId="0" applyNumberFormat="1" applyFont="1" applyFill="1" applyBorder="1" applyAlignment="1">
      <alignment/>
    </xf>
    <xf numFmtId="10" fontId="3" fillId="32" borderId="33" xfId="0" applyNumberFormat="1" applyFont="1" applyFill="1" applyBorder="1" applyAlignment="1">
      <alignment/>
    </xf>
    <xf numFmtId="164" fontId="2" fillId="0" borderId="0" xfId="0" applyNumberFormat="1" applyFont="1" applyBorder="1" applyAlignment="1" applyProtection="1">
      <alignment horizontal="left"/>
      <protection/>
    </xf>
    <xf numFmtId="0" fontId="12" fillId="0" borderId="0" xfId="60" applyFont="1">
      <alignment/>
      <protection/>
    </xf>
    <xf numFmtId="170" fontId="45" fillId="0" borderId="78" xfId="0" applyNumberFormat="1" applyFont="1" applyBorder="1" applyAlignment="1" applyProtection="1">
      <alignment horizontal="right" wrapText="1"/>
      <protection/>
    </xf>
    <xf numFmtId="170" fontId="45" fillId="0" borderId="19" xfId="0" applyNumberFormat="1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left"/>
      <protection/>
    </xf>
    <xf numFmtId="0" fontId="26" fillId="33" borderId="0" xfId="0" applyFont="1" applyFill="1" applyAlignment="1">
      <alignment/>
    </xf>
    <xf numFmtId="0" fontId="0" fillId="34" borderId="0" xfId="0" applyFill="1" applyAlignment="1">
      <alignment/>
    </xf>
    <xf numFmtId="0" fontId="3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 wrapText="1" indent="2"/>
    </xf>
    <xf numFmtId="0" fontId="0" fillId="34" borderId="0" xfId="0" applyFont="1" applyFill="1" applyAlignment="1">
      <alignment horizontal="left" wrapText="1" indent="2"/>
    </xf>
    <xf numFmtId="0" fontId="0" fillId="34" borderId="0" xfId="0" applyFill="1" applyAlignment="1">
      <alignment horizontal="left" wrapText="1" indent="2"/>
    </xf>
    <xf numFmtId="0" fontId="28" fillId="33" borderId="107" xfId="60" applyFont="1" applyFill="1" applyBorder="1" applyAlignment="1">
      <alignment horizontal="center" vertical="top"/>
      <protection/>
    </xf>
    <xf numFmtId="0" fontId="28" fillId="33" borderId="108" xfId="60" applyFont="1" applyFill="1" applyBorder="1" applyAlignment="1">
      <alignment horizontal="center" vertical="top"/>
      <protection/>
    </xf>
    <xf numFmtId="0" fontId="28" fillId="33" borderId="109" xfId="60" applyFont="1" applyFill="1" applyBorder="1" applyAlignment="1">
      <alignment horizontal="center" vertical="top"/>
      <protection/>
    </xf>
    <xf numFmtId="0" fontId="37" fillId="0" borderId="76" xfId="60" applyFont="1" applyBorder="1" applyAlignment="1">
      <alignment horizontal="left" wrapText="1" indent="1"/>
      <protection/>
    </xf>
    <xf numFmtId="0" fontId="37" fillId="0" borderId="0" xfId="60" applyFont="1" applyAlignment="1">
      <alignment horizontal="left" wrapText="1" indent="1"/>
      <protection/>
    </xf>
    <xf numFmtId="0" fontId="28" fillId="0" borderId="76" xfId="60" applyFont="1" applyBorder="1" applyAlignment="1">
      <alignment horizontal="center" vertical="top"/>
      <protection/>
    </xf>
    <xf numFmtId="0" fontId="28" fillId="0" borderId="0" xfId="60" applyFont="1" applyBorder="1" applyAlignment="1">
      <alignment horizontal="center" vertical="top"/>
      <protection/>
    </xf>
    <xf numFmtId="0" fontId="28" fillId="0" borderId="54" xfId="60" applyFont="1" applyBorder="1" applyAlignment="1">
      <alignment horizontal="center" vertical="top"/>
      <protection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471bedford" xfId="57"/>
    <cellStyle name="Normal_coop sale price analysis v2" xfId="58"/>
    <cellStyle name="Normal_Form F - Financing Proposal" xfId="59"/>
    <cellStyle name="Normal_RFP Score Sheet" xfId="60"/>
    <cellStyle name="Normal_Sample LAMP 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WINDOWS\Temporary%20Internet%20Files\Content.IE5\335PUELY\NHOP\VillageCar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WINDOWS\Temporary%20Internet%20Files\Content.IE5\335PUELY\PLP--Round%20III\670sta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Documents%20and%20Settings\Sandy%20Rad\Local%20Settings\Temporary%20Internet%20Files\OLK18F\Casablanca%20Houses82806%2075%20k%20in%20subsidy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WINDOWS\Temporary%20Internet%20Files\Content.IE5\335PUELY\Spring%20Creek%20I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WINDOWS\Temporary%20Internet%20Files\Content.IE5\335PUELY\2001%20Series%20C,%20Sept%202001\East%20148th%20Stree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WINDOWS\Temporary%20Internet%20Files\Content.IE5\335PUELY\2001%20Series%20C,%20Sept%202001\PLP--Round%20III\670stan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c.gov/Shared\PLP\plp%20shells\Credit%20Memo%20PLP%20Shell%202006%20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ources and Use"/>
      <sheetName val="Unit Distrib."/>
      <sheetName val="exp comp"/>
      <sheetName val="M and O"/>
      <sheetName val="Calc"/>
      <sheetName val="Devel. Bud (2)"/>
      <sheetName val="Mort (2)"/>
      <sheetName val="expenses (2)"/>
      <sheetName val="I_E"/>
      <sheetName val="expenses (1)"/>
      <sheetName val="Mort (1)"/>
      <sheetName val="Devel. Bud (1)"/>
      <sheetName val="serv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enses"/>
      <sheetName val="Income"/>
      <sheetName val="Loan Info."/>
    </sheetNames>
    <sheetDataSet>
      <sheetData sheetId="1">
        <row r="24">
          <cell r="D24">
            <v>27716.69476923077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rces and Uses"/>
      <sheetName val="Unit Distrib."/>
      <sheetName val="m &amp; O"/>
      <sheetName val="Devel. Bud"/>
      <sheetName val="Mort"/>
      <sheetName val="Cred Memo"/>
    </sheetNames>
    <sheetDataSet>
      <sheetData sheetId="5">
        <row r="2">
          <cell r="B2" t="str">
            <v>Project Summary</v>
          </cell>
        </row>
        <row r="3">
          <cell r="B3" t="str">
            <v> Project Name </v>
          </cell>
          <cell r="C3" t="str">
            <v>Casablanca</v>
          </cell>
        </row>
        <row r="4">
          <cell r="B4" t="str">
            <v> HPD Project Manager</v>
          </cell>
          <cell r="C4" t="str">
            <v>Shawn Larson</v>
          </cell>
        </row>
        <row r="5">
          <cell r="B5" t="str">
            <v> Formerly City-Owned Site</v>
          </cell>
        </row>
        <row r="6">
          <cell r="B6" t="str">
            <v> HPD Program</v>
          </cell>
          <cell r="C6" t="str">
            <v>Multi-Family New Construction</v>
          </cell>
        </row>
        <row r="7">
          <cell r="B7" t="str">
            <v> Development Category</v>
          </cell>
          <cell r="C7" t="str">
            <v>New Construction</v>
          </cell>
        </row>
        <row r="8">
          <cell r="B8" t="str">
            <v> Occupancy Type</v>
          </cell>
          <cell r="C8" t="str">
            <v>Rental</v>
          </cell>
        </row>
        <row r="9">
          <cell r="B9" t="str">
            <v> Number of Buildings</v>
          </cell>
          <cell r="C9">
            <v>1</v>
          </cell>
        </row>
        <row r="10">
          <cell r="B10" t="str">
            <v> Number of Stories</v>
          </cell>
          <cell r="C10">
            <v>7</v>
          </cell>
        </row>
        <row r="15">
          <cell r="B15" t="str">
            <v>Square Footage</v>
          </cell>
          <cell r="C15" t="str">
            <v>Gross</v>
          </cell>
          <cell r="D15" t="str">
            <v>Net</v>
          </cell>
        </row>
        <row r="16">
          <cell r="B16" t="str">
            <v>Residential</v>
          </cell>
          <cell r="C16">
            <v>40220</v>
          </cell>
          <cell r="D16">
            <v>31851</v>
          </cell>
        </row>
        <row r="17">
          <cell r="B17" t="str">
            <v>Commercial/Retail</v>
          </cell>
          <cell r="C17">
            <v>8840</v>
          </cell>
        </row>
        <row r="18">
          <cell r="B18" t="str">
            <v>Community Facility</v>
          </cell>
          <cell r="C18">
            <v>0</v>
          </cell>
        </row>
        <row r="19">
          <cell r="B19" t="str">
            <v>Other</v>
          </cell>
        </row>
        <row r="21">
          <cell r="B21" t="str">
            <v>Total Square Feet</v>
          </cell>
          <cell r="C21">
            <v>49060</v>
          </cell>
          <cell r="D21">
            <v>31851</v>
          </cell>
        </row>
        <row r="25">
          <cell r="B25" t="str">
            <v>Number of Parking Spaces</v>
          </cell>
          <cell r="C25">
            <v>0</v>
          </cell>
        </row>
        <row r="30">
          <cell r="B30" t="str">
            <v>Unit Breakdown by Rent Level</v>
          </cell>
          <cell r="C30" t="str">
            <v># Units</v>
          </cell>
          <cell r="D30" t="str">
            <v>% of Total</v>
          </cell>
        </row>
        <row r="31">
          <cell r="B31" t="str">
            <v>Market Rate</v>
          </cell>
          <cell r="C31">
            <v>37</v>
          </cell>
          <cell r="D31">
            <v>0.7708333333333334</v>
          </cell>
        </row>
        <row r="32">
          <cell r="B32" t="str">
            <v>High HOME (Tax Credit)</v>
          </cell>
          <cell r="C32">
            <v>8</v>
          </cell>
          <cell r="D32">
            <v>0.16666666666666666</v>
          </cell>
        </row>
        <row r="33">
          <cell r="B33" t="str">
            <v>Low HOME (Tax Credit)</v>
          </cell>
          <cell r="C33">
            <v>3</v>
          </cell>
          <cell r="D33">
            <v>0.0625</v>
          </cell>
        </row>
        <row r="34">
          <cell r="B34" t="str">
            <v>Non-HOME Tax Credit</v>
          </cell>
          <cell r="C34">
            <v>0</v>
          </cell>
          <cell r="D34" t="str">
            <v/>
          </cell>
        </row>
        <row r="35">
          <cell r="B35" t="str">
            <v>Other</v>
          </cell>
          <cell r="D35" t="str">
            <v/>
          </cell>
        </row>
        <row r="36">
          <cell r="B36" t="str">
            <v>  Subtotal</v>
          </cell>
          <cell r="C36">
            <v>48</v>
          </cell>
          <cell r="D36">
            <v>1</v>
          </cell>
        </row>
        <row r="38">
          <cell r="B38" t="str">
            <v>Super's Unit</v>
          </cell>
          <cell r="C38">
            <v>0</v>
          </cell>
        </row>
        <row r="40">
          <cell r="B40" t="str">
            <v>Total Units</v>
          </cell>
          <cell r="C40">
            <v>48</v>
          </cell>
        </row>
        <row r="41">
          <cell r="B41" t="str">
            <v>Total Rooms / Average Rms/du</v>
          </cell>
          <cell r="C41">
            <v>137</v>
          </cell>
          <cell r="D41">
            <v>2.8541666666666665</v>
          </cell>
        </row>
        <row r="44">
          <cell r="B44" t="str">
            <v># of units for formerly homeless tenants</v>
          </cell>
          <cell r="D44">
            <v>0</v>
          </cell>
        </row>
        <row r="45">
          <cell r="B45" t="str">
            <v>Percentage homeless units</v>
          </cell>
          <cell r="D45">
            <v>0</v>
          </cell>
        </row>
        <row r="49">
          <cell r="B49" t="str">
            <v>Location Information</v>
          </cell>
        </row>
        <row r="50">
          <cell r="B50" t="str">
            <v>Borough &amp; Neighborhood</v>
          </cell>
          <cell r="C50" t="str">
            <v>Manhattan </v>
          </cell>
        </row>
        <row r="51">
          <cell r="B51" t="str">
            <v>Address</v>
          </cell>
          <cell r="C51" t="str">
            <v>121-125 E. 110th St</v>
          </cell>
        </row>
        <row r="52">
          <cell r="B52" t="str">
            <v>Community Board</v>
          </cell>
          <cell r="C52">
            <v>11</v>
          </cell>
        </row>
        <row r="53">
          <cell r="B53" t="str">
            <v>Block / Lot(s)</v>
          </cell>
          <cell r="C53" t="str">
            <v>1638 / 7,8,9,10</v>
          </cell>
        </row>
        <row r="57">
          <cell r="B57" t="str">
            <v>Development Team</v>
          </cell>
        </row>
        <row r="58">
          <cell r="B58" t="str">
            <v>Owner / Borrower</v>
          </cell>
          <cell r="C58" t="str">
            <v>121-125 E. 110th St, LLC, Principal Luis Perez</v>
          </cell>
        </row>
        <row r="59">
          <cell r="B59" t="str">
            <v>Community Sponsor</v>
          </cell>
          <cell r="C59" t="str">
            <v>None</v>
          </cell>
        </row>
        <row r="60">
          <cell r="B60" t="str">
            <v>General Contractor</v>
          </cell>
          <cell r="C60" t="str">
            <v>CatsPaw</v>
          </cell>
        </row>
        <row r="61">
          <cell r="B61" t="str">
            <v>Managing Agent</v>
          </cell>
          <cell r="C61" t="str">
            <v>N/A</v>
          </cell>
        </row>
        <row r="66">
          <cell r="B66" t="str">
            <v>Financing Information</v>
          </cell>
        </row>
        <row r="67">
          <cell r="B67" t="str">
            <v>Construction Lender</v>
          </cell>
          <cell r="C67" t="str">
            <v>HDC</v>
          </cell>
        </row>
        <row r="68">
          <cell r="B68" t="str">
            <v>Permanent Lender</v>
          </cell>
          <cell r="C68" t="str">
            <v>HDC</v>
          </cell>
        </row>
        <row r="69">
          <cell r="B69" t="str">
            <v>Tax Credit Syndicator</v>
          </cell>
          <cell r="C69" t="str">
            <v> </v>
          </cell>
        </row>
        <row r="70">
          <cell r="B70" t="str">
            <v>Tax Credit Raise</v>
          </cell>
          <cell r="C70" t="e">
            <v>#REF!</v>
          </cell>
        </row>
        <row r="71">
          <cell r="B71" t="str">
            <v>Debt Coverage: First Mortgage</v>
          </cell>
          <cell r="C71">
            <v>1.2833023603196596</v>
          </cell>
          <cell r="D71" t="str">
            <v>X</v>
          </cell>
        </row>
        <row r="72">
          <cell r="B72" t="str">
            <v>Debt Coverage: All Mortgages</v>
          </cell>
          <cell r="C72">
            <v>1.15</v>
          </cell>
          <cell r="D72" t="str">
            <v>X</v>
          </cell>
        </row>
        <row r="73">
          <cell r="B73" t="str">
            <v>Income to Expense Ratio</v>
          </cell>
          <cell r="C73">
            <v>1.106411466733589</v>
          </cell>
          <cell r="D73" t="str">
            <v>X</v>
          </cell>
        </row>
        <row r="74">
          <cell r="B74" t="str">
            <v>Mortgage Insurer</v>
          </cell>
          <cell r="C74" t="str">
            <v>SONYMA</v>
          </cell>
        </row>
        <row r="75">
          <cell r="B75" t="str">
            <v>Permanent Loan Servicer</v>
          </cell>
          <cell r="C75" t="str">
            <v>HDC</v>
          </cell>
        </row>
        <row r="82">
          <cell r="B82" t="str">
            <v>Development Costs</v>
          </cell>
          <cell r="C82" t="str">
            <v>Total</v>
          </cell>
          <cell r="D82" t="str">
            <v>Per DU</v>
          </cell>
          <cell r="E82" t="str">
            <v>Per GSF (Residential)</v>
          </cell>
          <cell r="F82" t="str">
            <v>Per GSF (Project)</v>
          </cell>
        </row>
        <row r="83">
          <cell r="B83" t="str">
            <v>Acquisition</v>
          </cell>
          <cell r="C83">
            <v>1600000</v>
          </cell>
          <cell r="D83">
            <v>33333.333333333336</v>
          </cell>
          <cell r="E83">
            <v>39.781203381402285</v>
          </cell>
          <cell r="F83">
            <v>32.61312678353037</v>
          </cell>
        </row>
        <row r="84">
          <cell r="B84" t="str">
            <v>Demolition</v>
          </cell>
          <cell r="C84">
            <v>0</v>
          </cell>
          <cell r="D84" t="str">
            <v/>
          </cell>
          <cell r="E84" t="str">
            <v/>
          </cell>
          <cell r="F84" t="str">
            <v/>
          </cell>
        </row>
        <row r="85">
          <cell r="B85" t="str">
            <v>Total Acquisition / Demolition</v>
          </cell>
          <cell r="C85">
            <v>1600000</v>
          </cell>
          <cell r="D85">
            <v>33333.333333333336</v>
          </cell>
          <cell r="E85">
            <v>39.781203381402285</v>
          </cell>
          <cell r="F85">
            <v>32.61312678353037</v>
          </cell>
        </row>
        <row r="87">
          <cell r="B87" t="str">
            <v>Residential Portion</v>
          </cell>
          <cell r="C87">
            <v>10600000</v>
          </cell>
          <cell r="D87">
            <v>220833.33333333334</v>
          </cell>
          <cell r="E87">
            <v>263.55047240179016</v>
          </cell>
          <cell r="F87">
            <v>216.0619649408887</v>
          </cell>
        </row>
        <row r="88">
          <cell r="B88" t="str">
            <v>Commercial </v>
          </cell>
          <cell r="D88" t="str">
            <v/>
          </cell>
          <cell r="E88" t="str">
            <v/>
          </cell>
          <cell r="F88" t="str">
            <v/>
          </cell>
        </row>
        <row r="89">
          <cell r="B89" t="str">
            <v>Community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</row>
        <row r="90">
          <cell r="B90" t="str">
            <v>Parking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</row>
        <row r="91">
          <cell r="B91" t="str">
            <v>  Total Project</v>
          </cell>
          <cell r="C91">
            <v>10600000</v>
          </cell>
          <cell r="D91">
            <v>220833.33333333334</v>
          </cell>
          <cell r="E91">
            <v>263.55047240179016</v>
          </cell>
          <cell r="F91">
            <v>216.0619649408887</v>
          </cell>
        </row>
        <row r="92">
          <cell r="B92" t="str">
            <v>Contingency  ~5%</v>
          </cell>
          <cell r="C92">
            <v>530000</v>
          </cell>
          <cell r="D92">
            <v>11041.666666666666</v>
          </cell>
          <cell r="E92">
            <v>13.177523620089508</v>
          </cell>
          <cell r="F92">
            <v>10.803098247044435</v>
          </cell>
        </row>
        <row r="93">
          <cell r="B93" t="str">
            <v>Other</v>
          </cell>
          <cell r="C93">
            <v>0</v>
          </cell>
          <cell r="D93" t="str">
            <v/>
          </cell>
          <cell r="E93" t="str">
            <v/>
          </cell>
          <cell r="F93" t="str">
            <v/>
          </cell>
        </row>
        <row r="94">
          <cell r="B94" t="str">
            <v>Total Hard Costs</v>
          </cell>
          <cell r="C94">
            <v>11130000</v>
          </cell>
          <cell r="D94">
            <v>231875</v>
          </cell>
          <cell r="E94">
            <v>276.7279960218797</v>
          </cell>
          <cell r="F94">
            <v>226.86506318793315</v>
          </cell>
        </row>
        <row r="96">
          <cell r="B96" t="str">
            <v>Total Soft Costs</v>
          </cell>
          <cell r="C96">
            <v>2333748.2127187257</v>
          </cell>
          <cell r="D96">
            <v>48619.75443164012</v>
          </cell>
          <cell r="E96">
            <v>58.02457018196732</v>
          </cell>
          <cell r="F96">
            <v>47.56926646389575</v>
          </cell>
        </row>
        <row r="98">
          <cell r="B98" t="str">
            <v>Dev. Fee – Up Front</v>
          </cell>
          <cell r="C98">
            <v>0</v>
          </cell>
          <cell r="D98" t="str">
            <v/>
          </cell>
          <cell r="E98" t="str">
            <v/>
          </cell>
          <cell r="F98" t="str">
            <v/>
          </cell>
        </row>
        <row r="99">
          <cell r="B99" t="str">
            <v>Dev. Fee - Deferred</v>
          </cell>
          <cell r="C99">
            <v>0</v>
          </cell>
          <cell r="D99" t="str">
            <v/>
          </cell>
          <cell r="E99" t="str">
            <v/>
          </cell>
          <cell r="F99" t="str">
            <v/>
          </cell>
        </row>
        <row r="100">
          <cell r="B100" t="str">
            <v>Total Developer Fee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2">
          <cell r="B102" t="str">
            <v>TOTAL COSTS</v>
          </cell>
          <cell r="C102">
            <v>15063748.212718725</v>
          </cell>
          <cell r="D102">
            <v>313828.08776497346</v>
          </cell>
          <cell r="E102">
            <v>374.5337695852493</v>
          </cell>
          <cell r="F102">
            <v>307.04745643535927</v>
          </cell>
        </row>
        <row r="108">
          <cell r="B108" t="str">
            <v>Construction Period Sources of Funds</v>
          </cell>
          <cell r="C108" t="str">
            <v>Total</v>
          </cell>
          <cell r="D108" t="str">
            <v>Per DU</v>
          </cell>
          <cell r="E108" t="str">
            <v>% of TDC</v>
          </cell>
        </row>
        <row r="109">
          <cell r="B109" t="str">
            <v>HDC First</v>
          </cell>
          <cell r="C109">
            <v>6665000</v>
          </cell>
          <cell r="D109">
            <v>138854.16666666666</v>
          </cell>
          <cell r="E109">
            <v>0.4424529609684104</v>
          </cell>
        </row>
        <row r="110">
          <cell r="B110" t="str">
            <v>HDC Second</v>
          </cell>
          <cell r="C110">
            <v>3600000</v>
          </cell>
          <cell r="D110">
            <v>75000</v>
          </cell>
          <cell r="E110">
            <v>0.2389843450091939</v>
          </cell>
        </row>
        <row r="111">
          <cell r="B111" t="str">
            <v>HPD Capital</v>
          </cell>
          <cell r="C111">
            <v>1278059.2127187252</v>
          </cell>
          <cell r="D111">
            <v>26626.233598306775</v>
          </cell>
          <cell r="E111">
            <v>0.08484337328737517</v>
          </cell>
        </row>
        <row r="112">
          <cell r="B112" t="str">
            <v>HPD HOME</v>
          </cell>
          <cell r="C112">
            <v>1620689</v>
          </cell>
          <cell r="D112">
            <v>33764.354166666664</v>
          </cell>
          <cell r="E112">
            <v>0.10758869420239041</v>
          </cell>
        </row>
        <row r="113">
          <cell r="B113" t="str">
            <v>Other (specify)</v>
          </cell>
          <cell r="D113" t="str">
            <v/>
          </cell>
          <cell r="E113" t="str">
            <v/>
          </cell>
        </row>
        <row r="114">
          <cell r="B114" t="str">
            <v>Total Mortgages</v>
          </cell>
          <cell r="C114">
            <v>13163748.212718725</v>
          </cell>
          <cell r="D114">
            <v>274244.7544316401</v>
          </cell>
          <cell r="E114">
            <v>0.8738693734673699</v>
          </cell>
        </row>
        <row r="116">
          <cell r="B116" t="str">
            <v>Tax Credit Equity</v>
          </cell>
          <cell r="C116">
            <v>0</v>
          </cell>
          <cell r="D116" t="str">
            <v/>
          </cell>
          <cell r="E116" t="str">
            <v/>
          </cell>
        </row>
        <row r="117">
          <cell r="B117" t="str">
            <v>Developer Equity</v>
          </cell>
          <cell r="C117">
            <v>1900000</v>
          </cell>
          <cell r="D117">
            <v>39583.333333333336</v>
          </cell>
          <cell r="E117">
            <v>0.12613062653263013</v>
          </cell>
        </row>
        <row r="118">
          <cell r="B118" t="str">
            <v>Deferred Developer Fee</v>
          </cell>
          <cell r="C118">
            <v>0</v>
          </cell>
          <cell r="D118" t="str">
            <v/>
          </cell>
          <cell r="E118" t="str">
            <v/>
          </cell>
        </row>
        <row r="119">
          <cell r="B119" t="str">
            <v>Reso A Funds</v>
          </cell>
          <cell r="D119" t="str">
            <v/>
          </cell>
          <cell r="E119" t="str">
            <v/>
          </cell>
        </row>
        <row r="120">
          <cell r="B120" t="str">
            <v>Other (specify)</v>
          </cell>
          <cell r="D120" t="str">
            <v/>
          </cell>
          <cell r="E120" t="str">
            <v/>
          </cell>
        </row>
        <row r="121">
          <cell r="B121" t="str">
            <v>Total Equity</v>
          </cell>
          <cell r="C121">
            <v>1900000</v>
          </cell>
          <cell r="D121">
            <v>39583.333333333336</v>
          </cell>
          <cell r="E121">
            <v>0.12613062653263013</v>
          </cell>
        </row>
        <row r="122">
          <cell r="B122" t="str">
            <v>TOTAL CONSTRUCTION SOURCES</v>
          </cell>
          <cell r="C122">
            <v>15063748.212718725</v>
          </cell>
          <cell r="D122">
            <v>313828.08776497346</v>
          </cell>
          <cell r="E122">
            <v>1</v>
          </cell>
        </row>
        <row r="130">
          <cell r="B130" t="str">
            <v>Permanent Sources of Funds</v>
          </cell>
          <cell r="C130" t="str">
            <v>Total</v>
          </cell>
          <cell r="D130" t="str">
            <v>Per DU</v>
          </cell>
          <cell r="E130" t="str">
            <v>% of TDC</v>
          </cell>
          <cell r="F130" t="str">
            <v>Rate</v>
          </cell>
          <cell r="G130" t="str">
            <v>Term</v>
          </cell>
        </row>
        <row r="131">
          <cell r="B131" t="str">
            <v>HDC First</v>
          </cell>
          <cell r="C131">
            <v>6665000</v>
          </cell>
          <cell r="D131">
            <v>138854.16666666666</v>
          </cell>
          <cell r="E131">
            <v>0.4424529609684104</v>
          </cell>
          <cell r="F131">
            <v>0.0675</v>
          </cell>
          <cell r="G131">
            <v>30</v>
          </cell>
        </row>
        <row r="132">
          <cell r="B132" t="str">
            <v>HDC Second</v>
          </cell>
          <cell r="C132">
            <v>3600000</v>
          </cell>
          <cell r="D132">
            <v>75000</v>
          </cell>
          <cell r="E132">
            <v>0.2389843450091939</v>
          </cell>
          <cell r="F132">
            <v>0.01</v>
          </cell>
          <cell r="G132">
            <v>30</v>
          </cell>
        </row>
        <row r="133">
          <cell r="B133" t="str">
            <v>HPD City Capital</v>
          </cell>
          <cell r="C133">
            <v>1278059.2127187252</v>
          </cell>
          <cell r="D133">
            <v>26626.233598306775</v>
          </cell>
          <cell r="E133">
            <v>0.08484337328737517</v>
          </cell>
          <cell r="F133">
            <v>0.01</v>
          </cell>
          <cell r="G133">
            <v>30</v>
          </cell>
        </row>
        <row r="134">
          <cell r="B134" t="str">
            <v>HPD HOME</v>
          </cell>
          <cell r="C134">
            <v>1620689</v>
          </cell>
          <cell r="D134">
            <v>33764.354166666664</v>
          </cell>
          <cell r="E134">
            <v>0.10758869420239041</v>
          </cell>
          <cell r="F134">
            <v>0</v>
          </cell>
          <cell r="G134">
            <v>20</v>
          </cell>
        </row>
        <row r="135">
          <cell r="B135" t="str">
            <v>Other (specify)</v>
          </cell>
          <cell r="D135" t="str">
            <v/>
          </cell>
          <cell r="E135" t="str">
            <v/>
          </cell>
        </row>
        <row r="136">
          <cell r="B136" t="str">
            <v>Total Mortgages</v>
          </cell>
          <cell r="C136">
            <v>13163748.212718725</v>
          </cell>
          <cell r="D136">
            <v>274244.7544316401</v>
          </cell>
          <cell r="E136">
            <v>0.8738693734673699</v>
          </cell>
        </row>
        <row r="138">
          <cell r="B138" t="str">
            <v>Tax Credit Equity</v>
          </cell>
          <cell r="C138">
            <v>0</v>
          </cell>
          <cell r="D138" t="str">
            <v/>
          </cell>
          <cell r="E138" t="str">
            <v/>
          </cell>
        </row>
        <row r="139">
          <cell r="B139" t="str">
            <v>Developer Equity</v>
          </cell>
          <cell r="C139">
            <v>1900000</v>
          </cell>
          <cell r="D139">
            <v>39583.333333333336</v>
          </cell>
          <cell r="E139">
            <v>0.12613062653263013</v>
          </cell>
        </row>
        <row r="140">
          <cell r="B140" t="str">
            <v>Deferred Developer Fee</v>
          </cell>
          <cell r="C140">
            <v>0</v>
          </cell>
          <cell r="D140" t="str">
            <v/>
          </cell>
          <cell r="E140" t="str">
            <v/>
          </cell>
        </row>
        <row r="141">
          <cell r="B141" t="str">
            <v>Reso A Funds</v>
          </cell>
          <cell r="D141" t="str">
            <v/>
          </cell>
          <cell r="E141" t="str">
            <v/>
          </cell>
        </row>
        <row r="142">
          <cell r="B142" t="str">
            <v>Other (specify)</v>
          </cell>
          <cell r="D142" t="str">
            <v/>
          </cell>
          <cell r="E142" t="str">
            <v/>
          </cell>
        </row>
        <row r="143">
          <cell r="B143" t="str">
            <v>Total Equity</v>
          </cell>
          <cell r="C143">
            <v>1900000</v>
          </cell>
          <cell r="D143">
            <v>39583.333333333336</v>
          </cell>
          <cell r="E143">
            <v>0.12613062653263013</v>
          </cell>
        </row>
        <row r="144">
          <cell r="B144" t="str">
            <v>TOTAL PERMANENT SOURCES</v>
          </cell>
          <cell r="C144">
            <v>15063748.212718725</v>
          </cell>
          <cell r="D144">
            <v>313828.08776497346</v>
          </cell>
          <cell r="E144">
            <v>1</v>
          </cell>
        </row>
        <row r="146">
          <cell r="B146" t="str">
            <v>Balloon on HDC Second Mortgage</v>
          </cell>
          <cell r="C146">
            <v>3600000.0000000005</v>
          </cell>
          <cell r="D146">
            <v>0</v>
          </cell>
        </row>
        <row r="148">
          <cell r="B148" t="str">
            <v>Balloon on HPD Second Mortgage</v>
          </cell>
          <cell r="C148">
            <v>885727.5374929736</v>
          </cell>
          <cell r="D148">
            <v>0</v>
          </cell>
        </row>
        <row r="150">
          <cell r="B150" t="str">
            <v>Balloon on HOME Loan</v>
          </cell>
          <cell r="C150">
            <v>0</v>
          </cell>
          <cell r="D150">
            <v>0</v>
          </cell>
        </row>
        <row r="152">
          <cell r="B152" t="str">
            <v> Amount of HOME Funds per HOME DU  </v>
          </cell>
          <cell r="D152">
            <v>147335.36363636365</v>
          </cell>
        </row>
        <row r="156">
          <cell r="H156" t="str">
            <v>Unit Distribution by Rent Level</v>
          </cell>
        </row>
        <row r="157">
          <cell r="H157" t="str">
            <v>Size of Unit</v>
          </cell>
          <cell r="I157" t="str">
            <v>Total # of Units</v>
          </cell>
          <cell r="J157" t="str">
            <v>Market Rate</v>
          </cell>
          <cell r="K157" t="str">
            <v>High HOME (58% AMI)</v>
          </cell>
          <cell r="L157" t="str">
            <v>Low HOME (48% AMI)</v>
          </cell>
          <cell r="M157" t="str">
            <v>Tax Credit (60%)</v>
          </cell>
          <cell r="N157" t="str">
            <v>Tax Credit (50%)</v>
          </cell>
        </row>
        <row r="158">
          <cell r="H158" t="str">
            <v>Studio</v>
          </cell>
          <cell r="I158">
            <v>25</v>
          </cell>
          <cell r="J158">
            <v>21</v>
          </cell>
          <cell r="K158">
            <v>3</v>
          </cell>
          <cell r="L158">
            <v>1</v>
          </cell>
          <cell r="M158">
            <v>0</v>
          </cell>
          <cell r="N158">
            <v>0</v>
          </cell>
        </row>
        <row r="159">
          <cell r="H159" t="str">
            <v>1-Bdrm</v>
          </cell>
          <cell r="I159">
            <v>5</v>
          </cell>
          <cell r="J159">
            <v>2</v>
          </cell>
          <cell r="K159">
            <v>2</v>
          </cell>
          <cell r="L159">
            <v>1</v>
          </cell>
          <cell r="M159">
            <v>0</v>
          </cell>
          <cell r="N159">
            <v>0</v>
          </cell>
        </row>
        <row r="160">
          <cell r="H160" t="str">
            <v>2-Bdrm</v>
          </cell>
          <cell r="I160">
            <v>18</v>
          </cell>
          <cell r="J160">
            <v>14</v>
          </cell>
          <cell r="K160">
            <v>3</v>
          </cell>
          <cell r="L160">
            <v>1</v>
          </cell>
          <cell r="M160">
            <v>0</v>
          </cell>
          <cell r="N160">
            <v>0</v>
          </cell>
        </row>
        <row r="161">
          <cell r="H161" t="str">
            <v>3-Bdrm</v>
          </cell>
          <cell r="I161" t="str">
            <v/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H162" t="str">
            <v>4-Bdrm</v>
          </cell>
          <cell r="I162" t="str">
            <v/>
          </cell>
        </row>
        <row r="163">
          <cell r="H163" t="str">
            <v>Total</v>
          </cell>
          <cell r="I163">
            <v>48</v>
          </cell>
          <cell r="J163">
            <v>37</v>
          </cell>
          <cell r="K163">
            <v>8</v>
          </cell>
          <cell r="L163">
            <v>3</v>
          </cell>
          <cell r="M163">
            <v>0</v>
          </cell>
          <cell r="N163">
            <v>0</v>
          </cell>
        </row>
        <row r="169">
          <cell r="H169" t="str">
            <v>Unit Distribution by Monthly Rent</v>
          </cell>
        </row>
        <row r="170">
          <cell r="H170" t="str">
            <v>Size of Unit</v>
          </cell>
          <cell r="I170" t="str">
            <v>Total # of Units</v>
          </cell>
          <cell r="J170" t="str">
            <v>Market Rate</v>
          </cell>
          <cell r="K170" t="str">
            <v>High HOME (58% AMI)</v>
          </cell>
          <cell r="L170" t="str">
            <v>Low HOME (48% AMI)</v>
          </cell>
          <cell r="M170" t="str">
            <v>Tax Credit</v>
          </cell>
          <cell r="N170" t="str">
            <v>Other</v>
          </cell>
          <cell r="O170" t="str">
            <v>Average Rent by Unit Size</v>
          </cell>
        </row>
        <row r="171">
          <cell r="H171" t="str">
            <v>Studio</v>
          </cell>
          <cell r="I171">
            <v>25</v>
          </cell>
          <cell r="J171">
            <v>1019</v>
          </cell>
          <cell r="K171">
            <v>742</v>
          </cell>
          <cell r="L171">
            <v>576</v>
          </cell>
          <cell r="M171">
            <v>0</v>
          </cell>
          <cell r="N171">
            <v>0</v>
          </cell>
          <cell r="O171">
            <v>968.04</v>
          </cell>
        </row>
        <row r="172">
          <cell r="H172" t="str">
            <v>1-Bdrm</v>
          </cell>
          <cell r="I172">
            <v>5</v>
          </cell>
          <cell r="J172">
            <v>1475</v>
          </cell>
          <cell r="K172">
            <v>796</v>
          </cell>
          <cell r="L172">
            <v>616</v>
          </cell>
          <cell r="O172">
            <v>1031.6</v>
          </cell>
        </row>
        <row r="173">
          <cell r="H173" t="str">
            <v>2-Bdrm</v>
          </cell>
          <cell r="I173">
            <v>18</v>
          </cell>
          <cell r="J173">
            <v>1775</v>
          </cell>
          <cell r="K173">
            <v>962</v>
          </cell>
          <cell r="L173">
            <v>743</v>
          </cell>
          <cell r="O173">
            <v>1582.1666666666667</v>
          </cell>
        </row>
        <row r="174">
          <cell r="H174" t="str">
            <v>3-Bdrm</v>
          </cell>
          <cell r="I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H175" t="str">
            <v>4-Bdrm</v>
          </cell>
          <cell r="I175">
            <v>0</v>
          </cell>
        </row>
        <row r="176">
          <cell r="H176" t="str">
            <v>Total</v>
          </cell>
          <cell r="I176">
            <v>48</v>
          </cell>
          <cell r="O176">
            <v>1204.9583333333333</v>
          </cell>
        </row>
        <row r="181">
          <cell r="H181" t="str">
            <v>Average Size of Units</v>
          </cell>
          <cell r="I181" t="str">
            <v>Studio</v>
          </cell>
          <cell r="J181" t="str">
            <v>1 BR</v>
          </cell>
          <cell r="K181" t="str">
            <v>2 BR</v>
          </cell>
          <cell r="L181" t="str">
            <v>3 BR</v>
          </cell>
          <cell r="M181" t="str">
            <v>4 BR</v>
          </cell>
          <cell r="N181" t="str">
            <v>Average all Units</v>
          </cell>
        </row>
        <row r="182">
          <cell r="H182" t="str">
            <v>(Net Sq Ft)</v>
          </cell>
          <cell r="I182">
            <v>479</v>
          </cell>
          <cell r="J182">
            <v>728</v>
          </cell>
          <cell r="K182">
            <v>902</v>
          </cell>
          <cell r="L182">
            <v>0</v>
          </cell>
          <cell r="M182">
            <v>0</v>
          </cell>
          <cell r="N182">
            <v>663.5625</v>
          </cell>
        </row>
        <row r="188">
          <cell r="H188" t="str">
            <v>Residential Data</v>
          </cell>
        </row>
        <row r="190">
          <cell r="H190" t="str">
            <v>Annual</v>
          </cell>
          <cell r="I190" t="str">
            <v> Rent</v>
          </cell>
          <cell r="J190" t="str">
            <v>Expenses</v>
          </cell>
        </row>
        <row r="191">
          <cell r="H191" t="str">
            <v>Per DU</v>
          </cell>
          <cell r="I191">
            <v>14459.5</v>
          </cell>
          <cell r="J191">
            <v>4749.416666666667</v>
          </cell>
        </row>
        <row r="192">
          <cell r="H192" t="str">
            <v>Per Room</v>
          </cell>
          <cell r="I192">
            <v>5066.1021897810215</v>
          </cell>
          <cell r="J192">
            <v>1664.029197080292</v>
          </cell>
        </row>
        <row r="193">
          <cell r="H193" t="str">
            <v>Per NSF</v>
          </cell>
          <cell r="I193">
            <v>21.790713007440896</v>
          </cell>
          <cell r="J193">
            <v>7.1574518853411195</v>
          </cell>
        </row>
        <row r="195">
          <cell r="H195" t="str">
            <v>Monthly</v>
          </cell>
          <cell r="I195" t="str">
            <v> Rent</v>
          </cell>
          <cell r="J195" t="str">
            <v>Expenses</v>
          </cell>
        </row>
        <row r="196">
          <cell r="H196" t="str">
            <v>Per DU</v>
          </cell>
          <cell r="I196">
            <v>1204.9583333333333</v>
          </cell>
          <cell r="J196">
            <v>395.78472222222223</v>
          </cell>
        </row>
        <row r="197">
          <cell r="H197" t="str">
            <v>Per Room</v>
          </cell>
          <cell r="I197">
            <v>422.1751824817518</v>
          </cell>
          <cell r="J197">
            <v>138.669099756691</v>
          </cell>
        </row>
        <row r="201">
          <cell r="H201" t="str">
            <v>Non-Residential Revenues</v>
          </cell>
        </row>
        <row r="202">
          <cell r="H202" t="str">
            <v>Commercial Space</v>
          </cell>
          <cell r="J202">
            <v>30</v>
          </cell>
          <cell r="K202" t="str">
            <v>Annual Rent/s.f.</v>
          </cell>
        </row>
        <row r="203">
          <cell r="H203" t="str">
            <v>Community Space</v>
          </cell>
          <cell r="J203">
            <v>0</v>
          </cell>
          <cell r="K203" t="str">
            <v>Annual Rent/s.f.</v>
          </cell>
        </row>
        <row r="204">
          <cell r="H204" t="str">
            <v>Parking</v>
          </cell>
          <cell r="J204" t="str">
            <v/>
          </cell>
          <cell r="K204" t="str">
            <v>Per space/month</v>
          </cell>
        </row>
        <row r="205">
          <cell r="H205" t="str">
            <v>Laundry</v>
          </cell>
          <cell r="J205">
            <v>100</v>
          </cell>
          <cell r="K205" t="str">
            <v>Annual per unit</v>
          </cell>
        </row>
        <row r="225">
          <cell r="B225" t="str">
            <v>Operating Budget</v>
          </cell>
          <cell r="C225" t="str">
            <v>Annual Amount</v>
          </cell>
          <cell r="D225" t="str">
            <v>Comments</v>
          </cell>
        </row>
        <row r="226">
          <cell r="B226" t="str">
            <v>  Residential Rent</v>
          </cell>
          <cell r="C226">
            <v>694056</v>
          </cell>
        </row>
        <row r="227">
          <cell r="B227" t="str">
            <v>  Vacancy and Collection Loss</v>
          </cell>
          <cell r="C227">
            <v>-34702.8</v>
          </cell>
          <cell r="D227">
            <v>0.05</v>
          </cell>
        </row>
        <row r="228">
          <cell r="B228" t="str">
            <v>  Commercial Rent</v>
          </cell>
          <cell r="C228">
            <v>265200</v>
          </cell>
          <cell r="D228" t="str">
            <v/>
          </cell>
        </row>
        <row r="229">
          <cell r="B229" t="str">
            <v>  Vacancy and Collection Loss</v>
          </cell>
          <cell r="C229">
            <v>-26520</v>
          </cell>
          <cell r="D229">
            <v>0.1</v>
          </cell>
        </row>
        <row r="230">
          <cell r="B230" t="str">
            <v>  Community Space</v>
          </cell>
          <cell r="C230">
            <v>0</v>
          </cell>
        </row>
        <row r="231">
          <cell r="B231" t="str">
            <v>  Vacancy and Collection Loss</v>
          </cell>
          <cell r="C231">
            <v>0</v>
          </cell>
          <cell r="D231">
            <v>0.1</v>
          </cell>
        </row>
        <row r="232">
          <cell r="B232" t="str">
            <v>  Parking</v>
          </cell>
          <cell r="C232">
            <v>0</v>
          </cell>
        </row>
        <row r="233">
          <cell r="B233" t="str">
            <v>  Vacancy and Collection Loss</v>
          </cell>
          <cell r="C233">
            <v>0</v>
          </cell>
          <cell r="D233">
            <v>0.1</v>
          </cell>
        </row>
        <row r="234">
          <cell r="B234" t="str">
            <v>  Other Income</v>
          </cell>
          <cell r="C234">
            <v>4800</v>
          </cell>
          <cell r="D234" t="str">
            <v>Ancillary/Laundry </v>
          </cell>
        </row>
        <row r="235">
          <cell r="B235" t="str">
            <v>  Effective Project Income</v>
          </cell>
          <cell r="C235">
            <v>902833.2</v>
          </cell>
        </row>
        <row r="236">
          <cell r="B236" t="str">
            <v>  Operating Expenses</v>
          </cell>
          <cell r="C236">
            <v>227972</v>
          </cell>
        </row>
        <row r="237">
          <cell r="B237" t="str">
            <v>  Real Estate Taxes</v>
          </cell>
          <cell r="C237">
            <v>9150</v>
          </cell>
          <cell r="D237" t="str">
            <v>421 a</v>
          </cell>
        </row>
        <row r="238">
          <cell r="B238" t="str">
            <v>  Net Operating Income</v>
          </cell>
          <cell r="C238">
            <v>665711.2</v>
          </cell>
        </row>
        <row r="239">
          <cell r="B239" t="str">
            <v>  First Mortgage Debt Service</v>
          </cell>
          <cell r="C239">
            <v>518748.5199</v>
          </cell>
          <cell r="D239" t="str">
            <v> </v>
          </cell>
        </row>
        <row r="240">
          <cell r="B240" t="str">
            <v>  Second Mortgage Debt Service</v>
          </cell>
          <cell r="C240">
            <v>60130.78444782604</v>
          </cell>
          <cell r="D240" t="str">
            <v> </v>
          </cell>
        </row>
        <row r="241">
          <cell r="B241" t="str">
            <v>  Net Cash to Owner</v>
          </cell>
          <cell r="C241">
            <v>86831.8956521739</v>
          </cell>
        </row>
        <row r="242">
          <cell r="B242" t="str">
            <v>  Return on Equity (1st year)</v>
          </cell>
          <cell r="C242">
            <v>0.04570099771167047</v>
          </cell>
        </row>
        <row r="243">
          <cell r="B243" t="str">
            <v>  Return on TDC (1st year)</v>
          </cell>
          <cell r="C243">
            <v>0.04419293197146791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v Budg"/>
      <sheetName val="Int Calc "/>
      <sheetName val="Sources"/>
      <sheetName val="Unit Distrib."/>
      <sheetName val="M and O"/>
      <sheetName val="Mort"/>
      <sheetName val="Cash Flow"/>
      <sheetName val="Escrows"/>
    </sheetNames>
    <sheetDataSet>
      <sheetData sheetId="6">
        <row r="13">
          <cell r="D13">
            <v>533771.64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nit Distrib."/>
      <sheetName val="Sources and Use"/>
      <sheetName val="M and O"/>
      <sheetName val="Mort"/>
      <sheetName val="Devel. Bud"/>
      <sheetName val="Int Calc (LT1st)"/>
      <sheetName val="Tax Credi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enses"/>
      <sheetName val="Income"/>
      <sheetName val="Loan Info."/>
    </sheetNames>
    <sheetDataSet>
      <sheetData sheetId="1">
        <row r="24">
          <cell r="D24">
            <v>27716.69476923077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Mem1"/>
      <sheetName val="CMem2"/>
      <sheetName val="Mort"/>
      <sheetName val="Rents"/>
      <sheetName val="I&amp;E"/>
      <sheetName val="I&amp;A"/>
      <sheetName val="IA2"/>
      <sheetName val="Calcs"/>
      <sheetName val="CFA"/>
    </sheetNames>
    <sheetDataSet>
      <sheetData sheetId="0">
        <row r="75">
          <cell r="M7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R34"/>
  <sheetViews>
    <sheetView tabSelected="1" zoomScale="115" zoomScaleNormal="115" zoomScaleSheetLayoutView="100" zoomScalePageLayoutView="0" workbookViewId="0" topLeftCell="A1">
      <selection activeCell="C21" sqref="C21"/>
    </sheetView>
  </sheetViews>
  <sheetFormatPr defaultColWidth="8.88671875" defaultRowHeight="15"/>
  <sheetData>
    <row r="1" spans="1:18" ht="15.75">
      <c r="A1" s="549" t="s">
        <v>662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1375"/>
      <c r="P1" s="1375"/>
      <c r="Q1" s="1375"/>
      <c r="R1" s="1375"/>
    </row>
    <row r="2" spans="1:18" ht="15">
      <c r="A2" s="1374" t="s">
        <v>472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1375"/>
      <c r="P2" s="1375"/>
      <c r="Q2" s="1375"/>
      <c r="R2" s="1375"/>
    </row>
    <row r="3" spans="1:18" ht="15">
      <c r="A3" s="1375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</row>
    <row r="4" spans="1:18" ht="15.75">
      <c r="A4" s="1376" t="s">
        <v>335</v>
      </c>
      <c r="B4" s="1377"/>
      <c r="C4" s="1377"/>
      <c r="D4" s="1377"/>
      <c r="E4" s="1377"/>
      <c r="F4" s="1377"/>
      <c r="G4" s="1377"/>
      <c r="H4" s="1377"/>
      <c r="I4" s="1377"/>
      <c r="J4" s="1377"/>
      <c r="K4" s="1375"/>
      <c r="L4" s="1375"/>
      <c r="M4" s="1375"/>
      <c r="N4" s="1375"/>
      <c r="O4" s="1375"/>
      <c r="P4" s="1375"/>
      <c r="Q4" s="1375"/>
      <c r="R4" s="1375"/>
    </row>
    <row r="5" spans="1:18" ht="15.75">
      <c r="A5" s="1376"/>
      <c r="B5" s="1377"/>
      <c r="C5" s="1377"/>
      <c r="D5" s="1377"/>
      <c r="E5" s="1377"/>
      <c r="F5" s="1377"/>
      <c r="G5" s="1377"/>
      <c r="H5" s="1377"/>
      <c r="I5" s="1377"/>
      <c r="J5" s="1377"/>
      <c r="K5" s="1375"/>
      <c r="L5" s="1375"/>
      <c r="M5" s="1375"/>
      <c r="N5" s="1375"/>
      <c r="O5" s="1375"/>
      <c r="P5" s="1375"/>
      <c r="Q5" s="1375"/>
      <c r="R5" s="1375"/>
    </row>
    <row r="6" spans="1:18" ht="47.25" customHeight="1">
      <c r="A6" s="1379" t="s">
        <v>663</v>
      </c>
      <c r="B6" s="1379"/>
      <c r="C6" s="1379"/>
      <c r="D6" s="1379"/>
      <c r="E6" s="1379"/>
      <c r="F6" s="1379"/>
      <c r="G6" s="1379"/>
      <c r="H6" s="1379"/>
      <c r="I6" s="1378"/>
      <c r="J6" s="1378"/>
      <c r="K6" s="1375"/>
      <c r="L6" s="1375"/>
      <c r="M6" s="1375"/>
      <c r="N6" s="1375"/>
      <c r="O6" s="1375"/>
      <c r="P6" s="1375"/>
      <c r="Q6" s="1375"/>
      <c r="R6" s="1375"/>
    </row>
    <row r="7" spans="1:18" ht="15">
      <c r="A7" s="1377"/>
      <c r="B7" s="1377"/>
      <c r="C7" s="1377"/>
      <c r="D7" s="1377"/>
      <c r="E7" s="1377"/>
      <c r="F7" s="1377"/>
      <c r="G7" s="1377"/>
      <c r="H7" s="1377"/>
      <c r="I7" s="1377"/>
      <c r="J7" s="1377"/>
      <c r="K7" s="1375"/>
      <c r="L7" s="1375"/>
      <c r="M7" s="1375"/>
      <c r="N7" s="1375"/>
      <c r="O7" s="1375"/>
      <c r="P7" s="1375"/>
      <c r="Q7" s="1375"/>
      <c r="R7" s="1375"/>
    </row>
    <row r="8" spans="1:18" ht="18" customHeight="1">
      <c r="A8" s="1380" t="s">
        <v>356</v>
      </c>
      <c r="B8" s="1380"/>
      <c r="C8" s="1380"/>
      <c r="D8" s="1380"/>
      <c r="E8" s="1380"/>
      <c r="F8" s="1380"/>
      <c r="G8" s="1380"/>
      <c r="H8" s="1380"/>
      <c r="I8" s="1375"/>
      <c r="J8" s="1375"/>
      <c r="K8" s="1375"/>
      <c r="L8" s="1375"/>
      <c r="M8" s="1375"/>
      <c r="N8" s="1375"/>
      <c r="O8" s="1375"/>
      <c r="P8" s="1375"/>
      <c r="Q8" s="1375"/>
      <c r="R8" s="1375"/>
    </row>
    <row r="9" spans="1:18" ht="15">
      <c r="A9" s="1375"/>
      <c r="B9" s="1375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</row>
    <row r="10" spans="1:18" ht="61.5" customHeight="1">
      <c r="A10" s="1380" t="s">
        <v>664</v>
      </c>
      <c r="B10" s="1380"/>
      <c r="C10" s="1380"/>
      <c r="D10" s="1380"/>
      <c r="E10" s="1380"/>
      <c r="F10" s="1380"/>
      <c r="G10" s="1380"/>
      <c r="H10" s="1380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</row>
    <row r="11" spans="1:18" ht="15">
      <c r="A11" s="1375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</row>
    <row r="12" spans="1:18" ht="30.75" customHeight="1">
      <c r="A12" s="1380" t="s">
        <v>661</v>
      </c>
      <c r="B12" s="1380"/>
      <c r="C12" s="1380"/>
      <c r="D12" s="1380"/>
      <c r="E12" s="1380"/>
      <c r="F12" s="1380"/>
      <c r="G12" s="1380"/>
      <c r="H12" s="1380"/>
      <c r="I12" s="1375"/>
      <c r="J12" s="1375"/>
      <c r="K12" s="1375"/>
      <c r="L12" s="1375"/>
      <c r="M12" s="1375"/>
      <c r="N12" s="1375"/>
      <c r="O12" s="1375"/>
      <c r="P12" s="1375"/>
      <c r="Q12" s="1375"/>
      <c r="R12" s="1375"/>
    </row>
    <row r="13" spans="1:18" ht="15">
      <c r="A13" s="1375"/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</row>
    <row r="14" spans="1:18" ht="15">
      <c r="A14" s="1375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</row>
    <row r="15" spans="1:18" ht="15">
      <c r="A15" s="1375"/>
      <c r="B15" s="1375"/>
      <c r="C15" s="1375"/>
      <c r="D15" s="1375"/>
      <c r="E15" s="1375"/>
      <c r="F15" s="1375"/>
      <c r="G15" s="1375"/>
      <c r="H15" s="1375"/>
      <c r="I15" s="1375"/>
      <c r="J15" s="1375"/>
      <c r="K15" s="1375"/>
      <c r="L15" s="1375"/>
      <c r="M15" s="1375"/>
      <c r="N15" s="1375"/>
      <c r="O15" s="1375"/>
      <c r="P15" s="1375"/>
      <c r="Q15" s="1375"/>
      <c r="R15" s="1375"/>
    </row>
    <row r="16" spans="1:18" ht="15">
      <c r="A16" s="1375"/>
      <c r="B16" s="1375"/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5"/>
    </row>
    <row r="17" spans="1:18" ht="15">
      <c r="A17" s="1375"/>
      <c r="B17" s="1375"/>
      <c r="C17" s="1375"/>
      <c r="D17" s="1375"/>
      <c r="E17" s="1375"/>
      <c r="F17" s="1375"/>
      <c r="G17" s="1375"/>
      <c r="H17" s="1375"/>
      <c r="I17" s="1375"/>
      <c r="J17" s="1375"/>
      <c r="K17" s="1375"/>
      <c r="L17" s="1375"/>
      <c r="M17" s="1375"/>
      <c r="N17" s="1375"/>
      <c r="O17" s="1375"/>
      <c r="P17" s="1375"/>
      <c r="Q17" s="1375"/>
      <c r="R17" s="1375"/>
    </row>
    <row r="18" spans="1:18" ht="15">
      <c r="A18" s="1375"/>
      <c r="B18" s="1375"/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5"/>
      <c r="R18" s="1375"/>
    </row>
    <row r="19" spans="1:18" ht="15">
      <c r="A19" s="137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</row>
    <row r="20" spans="1:18" ht="15">
      <c r="A20" s="1375"/>
      <c r="B20" s="1375"/>
      <c r="C20" s="1375"/>
      <c r="D20" s="1375"/>
      <c r="E20" s="1375"/>
      <c r="F20" s="1375"/>
      <c r="G20" s="1375"/>
      <c r="H20" s="1375"/>
      <c r="I20" s="1375"/>
      <c r="J20" s="1375"/>
      <c r="K20" s="1375"/>
      <c r="L20" s="1375"/>
      <c r="M20" s="1375"/>
      <c r="N20" s="1375"/>
      <c r="O20" s="1375"/>
      <c r="P20" s="1375"/>
      <c r="Q20" s="1375"/>
      <c r="R20" s="1375"/>
    </row>
    <row r="21" spans="1:18" ht="15">
      <c r="A21" s="1375"/>
      <c r="B21" s="1375"/>
      <c r="C21" s="1375"/>
      <c r="D21" s="1375"/>
      <c r="E21" s="1375"/>
      <c r="F21" s="1375"/>
      <c r="G21" s="1375"/>
      <c r="H21" s="1375"/>
      <c r="I21" s="1375"/>
      <c r="J21" s="1375"/>
      <c r="K21" s="1375"/>
      <c r="L21" s="1375"/>
      <c r="M21" s="1375"/>
      <c r="N21" s="1375"/>
      <c r="O21" s="1375"/>
      <c r="P21" s="1375"/>
      <c r="Q21" s="1375"/>
      <c r="R21" s="1375"/>
    </row>
    <row r="22" spans="1:18" ht="15">
      <c r="A22" s="1375"/>
      <c r="B22" s="1375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</row>
    <row r="23" spans="1:18" ht="15">
      <c r="A23" s="1375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</row>
    <row r="24" spans="1:18" ht="15">
      <c r="A24" s="1375"/>
      <c r="B24" s="1375"/>
      <c r="C24" s="1375"/>
      <c r="D24" s="1375"/>
      <c r="E24" s="1375"/>
      <c r="F24" s="1375"/>
      <c r="G24" s="1375"/>
      <c r="H24" s="1375"/>
      <c r="I24" s="1375"/>
      <c r="J24" s="1375"/>
      <c r="K24" s="1375"/>
      <c r="L24" s="1375"/>
      <c r="M24" s="1375"/>
      <c r="N24" s="1375"/>
      <c r="O24" s="1375"/>
      <c r="P24" s="1375"/>
      <c r="Q24" s="1375"/>
      <c r="R24" s="1375"/>
    </row>
    <row r="25" spans="1:18" ht="15">
      <c r="A25" s="1375"/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</row>
    <row r="26" spans="1:18" ht="15">
      <c r="A26" s="1375"/>
      <c r="B26" s="1375"/>
      <c r="C26" s="1375"/>
      <c r="D26" s="1375"/>
      <c r="E26" s="1375"/>
      <c r="F26" s="1375"/>
      <c r="G26" s="1375"/>
      <c r="H26" s="1375"/>
      <c r="I26" s="1375"/>
      <c r="J26" s="1375"/>
      <c r="K26" s="1375"/>
      <c r="L26" s="1375"/>
      <c r="M26" s="1375"/>
      <c r="N26" s="1375"/>
      <c r="O26" s="1375"/>
      <c r="P26" s="1375"/>
      <c r="Q26" s="1375"/>
      <c r="R26" s="1375"/>
    </row>
    <row r="27" spans="1:18" ht="15">
      <c r="A27" s="1375"/>
      <c r="B27" s="1375"/>
      <c r="C27" s="1375"/>
      <c r="D27" s="1375"/>
      <c r="E27" s="1375"/>
      <c r="F27" s="1375"/>
      <c r="G27" s="1375"/>
      <c r="H27" s="1375"/>
      <c r="I27" s="1375"/>
      <c r="J27" s="1375"/>
      <c r="K27" s="1375"/>
      <c r="L27" s="1375"/>
      <c r="M27" s="1375"/>
      <c r="N27" s="1375"/>
      <c r="O27" s="1375"/>
      <c r="P27" s="1375"/>
      <c r="Q27" s="1375"/>
      <c r="R27" s="1375"/>
    </row>
    <row r="28" spans="1:18" ht="15">
      <c r="A28" s="1375"/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</row>
    <row r="29" spans="1:18" ht="15">
      <c r="A29" s="1375"/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</row>
    <row r="30" spans="1:18" ht="15">
      <c r="A30" s="1375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</row>
    <row r="31" spans="1:18" ht="15">
      <c r="A31" s="1375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</row>
    <row r="32" spans="1:18" ht="15">
      <c r="A32" s="1375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</row>
    <row r="33" spans="1:18" ht="15">
      <c r="A33" s="1375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</row>
    <row r="34" spans="9:18" ht="15"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</row>
  </sheetData>
  <sheetProtection/>
  <mergeCells count="4">
    <mergeCell ref="A6:H6"/>
    <mergeCell ref="A8:H8"/>
    <mergeCell ref="A10:H10"/>
    <mergeCell ref="A12:H12"/>
  </mergeCells>
  <printOptions/>
  <pageMargins left="0.75" right="0.75" top="1" bottom="1" header="0.5" footer="0.5"/>
  <pageSetup firstPageNumber="205" useFirstPageNumber="1" horizontalDpi="600" verticalDpi="600" orientation="portrait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81"/>
  <sheetViews>
    <sheetView zoomScale="70" zoomScaleNormal="70" zoomScalePageLayoutView="0" workbookViewId="0" topLeftCell="A1">
      <selection activeCell="G41" sqref="G41"/>
    </sheetView>
  </sheetViews>
  <sheetFormatPr defaultColWidth="8.88671875" defaultRowHeight="15"/>
  <cols>
    <col min="1" max="1" width="38.4453125" style="0" customWidth="1"/>
    <col min="2" max="2" width="19.5546875" style="403" bestFit="1" customWidth="1"/>
    <col min="3" max="3" width="15.10546875" style="212" bestFit="1" customWidth="1"/>
    <col min="4" max="4" width="17.77734375" style="0" customWidth="1"/>
    <col min="5" max="5" width="6.21484375" style="0" customWidth="1"/>
    <col min="6" max="6" width="26.10546875" style="0" customWidth="1"/>
    <col min="7" max="7" width="11.21484375" style="0" customWidth="1"/>
    <col min="8" max="8" width="13.6640625" style="0" customWidth="1"/>
  </cols>
  <sheetData>
    <row r="1" spans="1:8" ht="15.75">
      <c r="A1" s="31" t="str">
        <f>'1. Sources and Use'!A1</f>
        <v>Willets Point Phase 1 Development</v>
      </c>
      <c r="B1" s="402"/>
      <c r="G1" s="431"/>
      <c r="H1" s="431"/>
    </row>
    <row r="2" spans="1:8" ht="15.75">
      <c r="A2" s="31" t="str">
        <f>'1. Sources and Use'!A2</f>
        <v>Building 1</v>
      </c>
      <c r="B2" s="402"/>
      <c r="G2" s="739" t="str">
        <f>'1. Units &amp; Income'!H2</f>
        <v>Units:</v>
      </c>
      <c r="H2" s="739">
        <f>'1. Units &amp; Income'!I2</f>
        <v>0</v>
      </c>
    </row>
    <row r="3" spans="7:8" ht="15.75">
      <c r="G3" s="739" t="str">
        <f>'1. Units &amp; Income'!H3</f>
        <v>Rooms:</v>
      </c>
      <c r="H3" s="739">
        <f>'1. Units &amp; Income'!I3</f>
        <v>0</v>
      </c>
    </row>
    <row r="4" ht="15.75">
      <c r="A4" s="31" t="s">
        <v>233</v>
      </c>
    </row>
    <row r="5" spans="1:3" ht="15.75" thickBot="1">
      <c r="A5" s="432" t="s">
        <v>234</v>
      </c>
      <c r="B5" s="404"/>
      <c r="C5"/>
    </row>
    <row r="6" spans="2:8" ht="17.25" thickBot="1" thickTop="1">
      <c r="B6" s="402"/>
      <c r="F6" s="569" t="s">
        <v>345</v>
      </c>
      <c r="G6" s="570"/>
      <c r="H6" s="1367"/>
    </row>
    <row r="7" spans="1:8" ht="16.5" thickTop="1">
      <c r="A7" s="406"/>
      <c r="B7" s="407" t="s">
        <v>220</v>
      </c>
      <c r="C7" s="408" t="s">
        <v>219</v>
      </c>
      <c r="D7" s="409" t="s">
        <v>221</v>
      </c>
      <c r="F7" s="411" t="s">
        <v>224</v>
      </c>
      <c r="G7" s="172"/>
      <c r="H7" s="419" t="e">
        <f>H6/UNITS</f>
        <v>#DIV/0!</v>
      </c>
    </row>
    <row r="8" spans="1:8" ht="15">
      <c r="A8" s="410" t="str">
        <f>'1. Devel. Bud'!A6</f>
        <v>Acquisition Cost</v>
      </c>
      <c r="B8" s="395" t="s">
        <v>222</v>
      </c>
      <c r="C8" s="361">
        <f>'1. Devel. Bud'!D6</f>
        <v>0</v>
      </c>
      <c r="D8" s="1315">
        <f>IF(B8="Y",(C8*$H$9),0)</f>
        <v>0</v>
      </c>
      <c r="F8" s="411" t="s">
        <v>225</v>
      </c>
      <c r="G8" s="172"/>
      <c r="H8" s="419" t="e">
        <f>SUM('1. Devel. Bud'!D11:D13)/'1. Devel. Bud'!D15</f>
        <v>#DIV/0!</v>
      </c>
    </row>
    <row r="9" spans="1:8" ht="15">
      <c r="A9" s="411"/>
      <c r="B9" s="395"/>
      <c r="C9" s="361"/>
      <c r="D9" s="1320"/>
      <c r="F9" s="411" t="s">
        <v>226</v>
      </c>
      <c r="G9" s="172"/>
      <c r="H9" s="420" t="e">
        <f>H7*(1-H8)</f>
        <v>#DIV/0!</v>
      </c>
    </row>
    <row r="10" spans="1:8" ht="15">
      <c r="A10" s="410" t="str">
        <f>'1. Devel. Bud'!A8</f>
        <v>Construction Cost</v>
      </c>
      <c r="B10" s="395"/>
      <c r="C10" s="361"/>
      <c r="D10" s="1320"/>
      <c r="F10" s="421" t="s">
        <v>227</v>
      </c>
      <c r="G10" s="422"/>
      <c r="H10" s="423" t="e">
        <f>('1. Sources and Use'!B7-'1. Sources and Use'!B18)/'1. Sources and Use'!B7</f>
        <v>#DIV/0!</v>
      </c>
    </row>
    <row r="11" spans="1:4" ht="15">
      <c r="A11" s="410" t="str">
        <f>'1. Devel. Bud'!A9</f>
        <v>Contractor Price </v>
      </c>
      <c r="B11" s="395"/>
      <c r="C11" s="361"/>
      <c r="D11" s="1320"/>
    </row>
    <row r="12" spans="1:4" ht="15.75" thickBot="1">
      <c r="A12" s="411" t="str">
        <f>'1. Devel. Bud'!A10</f>
        <v>Residential</v>
      </c>
      <c r="B12" s="395" t="s">
        <v>223</v>
      </c>
      <c r="C12" s="361">
        <f>'1. Devel. Bud'!D10</f>
        <v>0</v>
      </c>
      <c r="D12" s="1297" t="e">
        <f>IF(B12="Y",(C12*$H$9),0)</f>
        <v>#DIV/0!</v>
      </c>
    </row>
    <row r="13" spans="1:8" ht="15.75" thickTop="1">
      <c r="A13" s="411" t="str">
        <f>'1. Devel. Bud'!A11</f>
        <v>Commercial Space</v>
      </c>
      <c r="B13" s="395" t="s">
        <v>223</v>
      </c>
      <c r="C13" s="361">
        <f>'1. Devel. Bud'!D11</f>
        <v>0</v>
      </c>
      <c r="D13" s="1321" t="e">
        <f>IF(B13="Y",(C13*$H$9),0)</f>
        <v>#DIV/0!</v>
      </c>
      <c r="F13" s="406" t="s">
        <v>231</v>
      </c>
      <c r="G13" s="425"/>
      <c r="H13" s="1298" t="e">
        <f>D81*G13</f>
        <v>#DIV/0!</v>
      </c>
    </row>
    <row r="14" spans="1:8" ht="15">
      <c r="A14" s="411" t="str">
        <f>'1. Devel. Bud'!A12</f>
        <v>Community Space</v>
      </c>
      <c r="B14" s="395" t="s">
        <v>223</v>
      </c>
      <c r="C14" s="361">
        <f>'1. Devel. Bud'!D12</f>
        <v>0</v>
      </c>
      <c r="D14" s="1321" t="e">
        <f>IF(B14="Y",(C14*$H$9),0)</f>
        <v>#DIV/0!</v>
      </c>
      <c r="F14" s="411" t="s">
        <v>228</v>
      </c>
      <c r="G14" s="520"/>
      <c r="H14" s="424" t="e">
        <f>H13*G14</f>
        <v>#DIV/0!</v>
      </c>
    </row>
    <row r="15" spans="1:8" ht="15">
      <c r="A15" s="411" t="str">
        <f>'1. Devel. Bud'!A13</f>
        <v>Parking</v>
      </c>
      <c r="B15" s="395" t="s">
        <v>223</v>
      </c>
      <c r="C15" s="361">
        <f>'1. Devel. Bud'!D13</f>
        <v>0</v>
      </c>
      <c r="D15" s="1321" t="e">
        <f>IF(B15="Y",(C15*$H$9),0)</f>
        <v>#DIV/0!</v>
      </c>
      <c r="F15" s="411" t="s">
        <v>229</v>
      </c>
      <c r="G15" s="405"/>
      <c r="H15" s="424" t="e">
        <f>H14*G15</f>
        <v>#DIV/0!</v>
      </c>
    </row>
    <row r="16" spans="1:8" ht="15">
      <c r="A16" s="411" t="str">
        <f>'1. Devel. Bud'!A14</f>
        <v>Contingency</v>
      </c>
      <c r="B16" s="395" t="s">
        <v>223</v>
      </c>
      <c r="C16" s="361">
        <f>'1. Devel. Bud'!D14</f>
        <v>0</v>
      </c>
      <c r="D16" s="1319" t="e">
        <f>IF(B16="Y",(C16*$H$9),0)</f>
        <v>#DIV/0!</v>
      </c>
      <c r="F16" s="421" t="s">
        <v>230</v>
      </c>
      <c r="G16" s="422"/>
      <c r="H16" s="418" t="e">
        <f>H15*10</f>
        <v>#DIV/0!</v>
      </c>
    </row>
    <row r="17" spans="1:4" ht="15">
      <c r="A17" s="411"/>
      <c r="B17" s="395"/>
      <c r="C17" s="361"/>
      <c r="D17" s="1322"/>
    </row>
    <row r="18" spans="1:4" ht="15">
      <c r="A18" s="410" t="str">
        <f>'1. Devel. Bud'!A15</f>
        <v>Total Hard Cost</v>
      </c>
      <c r="B18" s="395"/>
      <c r="C18" s="412">
        <f>'1. Devel. Bud'!D15</f>
        <v>0</v>
      </c>
      <c r="D18" s="1323" t="e">
        <f>SUM(D12:D17)</f>
        <v>#DIV/0!</v>
      </c>
    </row>
    <row r="19" spans="1:4" ht="15">
      <c r="A19" s="411"/>
      <c r="B19" s="395"/>
      <c r="C19" s="361"/>
      <c r="D19" s="1320"/>
    </row>
    <row r="20" spans="1:6" ht="15">
      <c r="A20" s="411"/>
      <c r="B20" s="395"/>
      <c r="C20" s="361"/>
      <c r="D20" s="1320"/>
      <c r="F20" s="554"/>
    </row>
    <row r="21" spans="1:4" ht="15">
      <c r="A21" s="410" t="str">
        <f>'1. Devel. Bud'!A18</f>
        <v>Soft Cost</v>
      </c>
      <c r="B21" s="395"/>
      <c r="C21" s="361"/>
      <c r="D21" s="1320"/>
    </row>
    <row r="22" spans="1:4" ht="15">
      <c r="A22" s="411"/>
      <c r="B22" s="395"/>
      <c r="C22" s="361"/>
      <c r="D22" s="1320"/>
    </row>
    <row r="23" spans="1:4" ht="15">
      <c r="A23" s="411" t="str">
        <f>'1. Devel. Bud'!A20</f>
        <v>Borrower's Legal</v>
      </c>
      <c r="B23" s="395" t="s">
        <v>223</v>
      </c>
      <c r="C23" s="361">
        <f>'1. Devel. Bud'!D20</f>
        <v>0</v>
      </c>
      <c r="D23" s="1297" t="e">
        <f aca="true" t="shared" si="0" ref="D23:D36">IF(B23="Y",(C23*$H$9),0)</f>
        <v>#DIV/0!</v>
      </c>
    </row>
    <row r="24" spans="1:4" ht="15">
      <c r="A24" s="411" t="str">
        <f>'1. Devel. Bud'!A21</f>
        <v>Borrower's Engineer/Architect Fees</v>
      </c>
      <c r="B24" s="395" t="s">
        <v>223</v>
      </c>
      <c r="C24" s="361">
        <f>'1. Devel. Bud'!D21</f>
        <v>0</v>
      </c>
      <c r="D24" s="1321" t="e">
        <f t="shared" si="0"/>
        <v>#DIV/0!</v>
      </c>
    </row>
    <row r="25" spans="1:4" ht="15">
      <c r="A25" s="411" t="str">
        <f>'1. Devel. Bud'!A22</f>
        <v>Accounting &amp; Cost Certification</v>
      </c>
      <c r="B25" s="395" t="s">
        <v>223</v>
      </c>
      <c r="C25" s="361">
        <f>'1. Devel. Bud'!D22</f>
        <v>0</v>
      </c>
      <c r="D25" s="1321" t="e">
        <f t="shared" si="0"/>
        <v>#DIV/0!</v>
      </c>
    </row>
    <row r="26" spans="1:4" ht="15">
      <c r="A26" s="411" t="str">
        <f>'1. Devel. Bud'!A23</f>
        <v>Bank's Engineer</v>
      </c>
      <c r="B26" s="395" t="s">
        <v>223</v>
      </c>
      <c r="C26" s="361">
        <f>'1. Devel. Bud'!D23</f>
        <v>0</v>
      </c>
      <c r="D26" s="1321" t="e">
        <f t="shared" si="0"/>
        <v>#DIV/0!</v>
      </c>
    </row>
    <row r="27" spans="1:4" ht="15">
      <c r="A27" s="411" t="str">
        <f>'1. Devel. Bud'!A24</f>
        <v>Bank Legal</v>
      </c>
      <c r="B27" s="395" t="s">
        <v>223</v>
      </c>
      <c r="C27" s="361">
        <f>'1. Devel. Bud'!D24</f>
        <v>0</v>
      </c>
      <c r="D27" s="1321" t="e">
        <f t="shared" si="0"/>
        <v>#DIV/0!</v>
      </c>
    </row>
    <row r="28" spans="1:4" ht="15">
      <c r="A28" s="411" t="str">
        <f>'1. Devel. Bud'!A25</f>
        <v>Permits and expediting</v>
      </c>
      <c r="B28" s="395" t="s">
        <v>223</v>
      </c>
      <c r="C28" s="361">
        <f>'1. Devel. Bud'!D25</f>
        <v>0</v>
      </c>
      <c r="D28" s="1321" t="e">
        <f t="shared" si="0"/>
        <v>#DIV/0!</v>
      </c>
    </row>
    <row r="29" spans="1:4" ht="15">
      <c r="A29" s="411" t="str">
        <f>'1. Devel. Bud'!A26</f>
        <v>Environmental Phase I &amp; II</v>
      </c>
      <c r="B29" s="395" t="s">
        <v>223</v>
      </c>
      <c r="C29" s="361">
        <f>'1. Devel. Bud'!D26</f>
        <v>0</v>
      </c>
      <c r="D29" s="1321" t="e">
        <f t="shared" si="0"/>
        <v>#DIV/0!</v>
      </c>
    </row>
    <row r="30" spans="1:4" ht="15">
      <c r="A30" s="411" t="str">
        <f>'1. Devel. Bud'!A27</f>
        <v>City Environmental Quality Review ("CEQR")</v>
      </c>
      <c r="B30" s="395" t="s">
        <v>223</v>
      </c>
      <c r="C30" s="361">
        <f>'1. Devel. Bud'!D27</f>
        <v>0</v>
      </c>
      <c r="D30" s="1321" t="e">
        <f t="shared" si="0"/>
        <v>#DIV/0!</v>
      </c>
    </row>
    <row r="31" spans="1:4" ht="15">
      <c r="A31" s="411" t="str">
        <f>'1. Devel. Bud'!A28</f>
        <v>Borings</v>
      </c>
      <c r="B31" s="395" t="s">
        <v>223</v>
      </c>
      <c r="C31" s="361">
        <f>'1. Devel. Bud'!D28</f>
        <v>0</v>
      </c>
      <c r="D31" s="1321" t="e">
        <f t="shared" si="0"/>
        <v>#DIV/0!</v>
      </c>
    </row>
    <row r="32" spans="1:4" ht="15">
      <c r="A32" s="411" t="str">
        <f>'1. Devel. Bud'!A29</f>
        <v>Survey</v>
      </c>
      <c r="B32" s="395" t="s">
        <v>223</v>
      </c>
      <c r="C32" s="361">
        <f>'1. Devel. Bud'!D29</f>
        <v>0</v>
      </c>
      <c r="D32" s="1321" t="e">
        <f t="shared" si="0"/>
        <v>#DIV/0!</v>
      </c>
    </row>
    <row r="33" spans="1:4" ht="15">
      <c r="A33" s="411" t="str">
        <f>'1. Devel. Bud'!A30</f>
        <v>Geotechnical</v>
      </c>
      <c r="B33" s="395" t="s">
        <v>223</v>
      </c>
      <c r="C33" s="361">
        <f>'1. Devel. Bud'!D30</f>
        <v>0</v>
      </c>
      <c r="D33" s="1321" t="e">
        <f t="shared" si="0"/>
        <v>#DIV/0!</v>
      </c>
    </row>
    <row r="34" spans="1:4" ht="15">
      <c r="A34" s="411" t="str">
        <f>'1. Devel. Bud'!A31</f>
        <v>Title Insurance</v>
      </c>
      <c r="B34" s="395" t="s">
        <v>223</v>
      </c>
      <c r="C34" s="361">
        <f>'1. Devel. Bud'!D31</f>
        <v>0</v>
      </c>
      <c r="D34" s="1321" t="e">
        <f t="shared" si="0"/>
        <v>#DIV/0!</v>
      </c>
    </row>
    <row r="35" spans="1:4" ht="15">
      <c r="A35" s="411" t="str">
        <f>'1. Devel. Bud'!A32</f>
        <v>Appraisal </v>
      </c>
      <c r="B35" s="395" t="s">
        <v>223</v>
      </c>
      <c r="C35" s="361">
        <f>'1. Devel. Bud'!D32</f>
        <v>0</v>
      </c>
      <c r="D35" s="1321" t="e">
        <f t="shared" si="0"/>
        <v>#DIV/0!</v>
      </c>
    </row>
    <row r="36" spans="1:6" ht="15">
      <c r="A36" s="411" t="str">
        <f>'1. Devel. Bud'!A33</f>
        <v>Other (Specify:_________________)</v>
      </c>
      <c r="B36" s="1295"/>
      <c r="C36" s="361">
        <f>'1. Devel. Bud'!D33</f>
        <v>0</v>
      </c>
      <c r="D36" s="1319">
        <f t="shared" si="0"/>
        <v>0</v>
      </c>
      <c r="F36" s="554"/>
    </row>
    <row r="37" spans="1:6" ht="15">
      <c r="A37" s="414" t="str">
        <f>'1. Devel. Bud'!A34</f>
        <v>Subtotal</v>
      </c>
      <c r="B37" s="395"/>
      <c r="C37" s="412">
        <f>'1. Devel. Bud'!D34</f>
        <v>0</v>
      </c>
      <c r="D37" s="1323" t="e">
        <f>SUM(D23:D35)</f>
        <v>#DIV/0!</v>
      </c>
      <c r="F37" s="1296"/>
    </row>
    <row r="38" spans="1:4" ht="15">
      <c r="A38" s="411"/>
      <c r="B38" s="395"/>
      <c r="C38" s="361"/>
      <c r="D38" s="1320"/>
    </row>
    <row r="39" spans="1:4" ht="15.75">
      <c r="A39" s="413" t="str">
        <f>'1. Devel. Bud'!A36</f>
        <v>Financing Fees (Please maintain links to original calculations and note any changes)</v>
      </c>
      <c r="B39" s="395"/>
      <c r="C39" s="361"/>
      <c r="D39" s="1320"/>
    </row>
    <row r="40" spans="1:4" ht="15">
      <c r="A40" s="411" t="str">
        <f>'1. Devel. Bud'!A37</f>
        <v>Upfront L/C Fee</v>
      </c>
      <c r="B40" s="395" t="s">
        <v>222</v>
      </c>
      <c r="C40" s="361">
        <f>'1. Devel. Bud'!D37</f>
        <v>0</v>
      </c>
      <c r="D40" s="1318">
        <f aca="true" t="shared" si="1" ref="D40:D54">IF(B40="Y",(C40*$H$9),0)</f>
        <v>0</v>
      </c>
    </row>
    <row r="41" spans="1:4" ht="15">
      <c r="A41" s="411" t="str">
        <f>'1. Devel. Bud'!A38</f>
        <v>Annual L/C Fee</v>
      </c>
      <c r="B41" s="395" t="s">
        <v>222</v>
      </c>
      <c r="C41" s="361">
        <f>'1. Devel. Bud'!D38</f>
        <v>0</v>
      </c>
      <c r="D41" s="1316">
        <f t="shared" si="1"/>
        <v>0</v>
      </c>
    </row>
    <row r="42" spans="1:4" ht="15">
      <c r="A42" s="411" t="str">
        <f>'1. Devel. Bud'!A39</f>
        <v>HDC Fee (if applicable)</v>
      </c>
      <c r="B42" s="395" t="s">
        <v>222</v>
      </c>
      <c r="C42" s="361">
        <f>'1. Devel. Bud'!D39</f>
        <v>0</v>
      </c>
      <c r="D42" s="1316">
        <f t="shared" si="1"/>
        <v>0</v>
      </c>
    </row>
    <row r="43" spans="1:4" ht="15">
      <c r="A43" s="411" t="str">
        <f>'1. Devel. Bud'!A40</f>
        <v>HDC Inducement Fee</v>
      </c>
      <c r="B43" s="395" t="s">
        <v>222</v>
      </c>
      <c r="C43" s="361">
        <f>'1. Devel. Bud'!D40</f>
        <v>0</v>
      </c>
      <c r="D43" s="1316">
        <f t="shared" si="1"/>
        <v>0</v>
      </c>
    </row>
    <row r="44" spans="1:4" ht="15">
      <c r="A44" s="411" t="str">
        <f>'1. Devel. Bud'!A41</f>
        <v>Costs of Bond Issuance</v>
      </c>
      <c r="B44" s="395" t="s">
        <v>222</v>
      </c>
      <c r="C44" s="361">
        <f>'1. Devel. Bud'!D41</f>
        <v>0</v>
      </c>
      <c r="D44" s="1316">
        <f t="shared" si="1"/>
        <v>0</v>
      </c>
    </row>
    <row r="45" spans="1:4" ht="15">
      <c r="A45" s="411" t="str">
        <f>'1. Devel. Bud'!A42</f>
        <v>HPD Fee (if applicable)</v>
      </c>
      <c r="B45" s="395" t="s">
        <v>222</v>
      </c>
      <c r="C45" s="361">
        <f>'1. Devel. Bud'!D42</f>
        <v>0</v>
      </c>
      <c r="D45" s="1316">
        <f t="shared" si="1"/>
        <v>0</v>
      </c>
    </row>
    <row r="46" spans="1:4" ht="15">
      <c r="A46" s="411" t="str">
        <f>'1. Devel. Bud'!A43</f>
        <v>Interest Rate Cap (estimate)</v>
      </c>
      <c r="B46" s="395" t="s">
        <v>222</v>
      </c>
      <c r="C46" s="361">
        <f>'1. Devel. Bud'!D43</f>
        <v>0</v>
      </c>
      <c r="D46" s="1316">
        <f t="shared" si="1"/>
        <v>0</v>
      </c>
    </row>
    <row r="47" spans="1:4" ht="15">
      <c r="A47" s="411" t="str">
        <f>'1. Devel. Bud'!A44</f>
        <v>Freddie Origination Fee</v>
      </c>
      <c r="B47" s="395" t="s">
        <v>222</v>
      </c>
      <c r="C47" s="361" t="e">
        <f>'1. Devel. Bud'!D44</f>
        <v>#DIV/0!</v>
      </c>
      <c r="D47" s="1316">
        <f t="shared" si="1"/>
        <v>0</v>
      </c>
    </row>
    <row r="48" spans="1:4" ht="15">
      <c r="A48" s="411" t="str">
        <f>'1. Devel. Bud'!A45</f>
        <v>Freddie Annual Fee</v>
      </c>
      <c r="B48" s="395" t="s">
        <v>222</v>
      </c>
      <c r="C48" s="361" t="e">
        <f>'1. Devel. Bud'!D45</f>
        <v>#DIV/0!</v>
      </c>
      <c r="D48" s="1316">
        <f t="shared" si="1"/>
        <v>0</v>
      </c>
    </row>
    <row r="49" spans="1:4" ht="15">
      <c r="A49" s="411" t="str">
        <f>'1. Devel. Bud'!A46</f>
        <v>DUS Lender Origination Fee</v>
      </c>
      <c r="B49" s="395" t="s">
        <v>222</v>
      </c>
      <c r="C49" s="361" t="e">
        <f>'1. Devel. Bud'!D46</f>
        <v>#DIV/0!</v>
      </c>
      <c r="D49" s="1316">
        <f t="shared" si="1"/>
        <v>0</v>
      </c>
    </row>
    <row r="50" spans="1:4" ht="15">
      <c r="A50" s="411" t="str">
        <f>'1. Devel. Bud'!A47</f>
        <v>Standby fee (Freddie/Wachovia)</v>
      </c>
      <c r="B50" s="395" t="s">
        <v>222</v>
      </c>
      <c r="C50" s="361" t="e">
        <f>'1. Devel. Bud'!D47</f>
        <v>#DIV/0!</v>
      </c>
      <c r="D50" s="1316">
        <f t="shared" si="1"/>
        <v>0</v>
      </c>
    </row>
    <row r="51" spans="1:4" ht="15">
      <c r="A51" s="411" t="str">
        <f>'1. Devel. Bud'!A48</f>
        <v>Tax Incentive Fees &amp; Consultant</v>
      </c>
      <c r="B51" s="395" t="s">
        <v>222</v>
      </c>
      <c r="C51" s="361">
        <f>'1. Devel. Bud'!D48</f>
        <v>0</v>
      </c>
      <c r="D51" s="1316">
        <f t="shared" si="1"/>
        <v>0</v>
      </c>
    </row>
    <row r="52" spans="1:4" ht="15">
      <c r="A52" s="411" t="str">
        <f>'1. Devel. Bud'!A49</f>
        <v>LIHTC Application Fee</v>
      </c>
      <c r="B52" s="395" t="s">
        <v>222</v>
      </c>
      <c r="C52" s="361">
        <f>'1. Devel. Bud'!D49</f>
        <v>0</v>
      </c>
      <c r="D52" s="1316">
        <f t="shared" si="1"/>
        <v>0</v>
      </c>
    </row>
    <row r="53" spans="1:4" ht="15">
      <c r="A53" s="411" t="str">
        <f>'1. Devel. Bud'!A50</f>
        <v>Non Profit Sponsor Fee</v>
      </c>
      <c r="B53" s="395" t="s">
        <v>222</v>
      </c>
      <c r="C53" s="361">
        <f>'1. Devel. Bud'!D50</f>
        <v>0</v>
      </c>
      <c r="D53" s="1316">
        <f t="shared" si="1"/>
        <v>0</v>
      </c>
    </row>
    <row r="54" spans="1:4" ht="15">
      <c r="A54" s="411" t="str">
        <f>'1. Devel. Bud'!A51</f>
        <v>Other (Specify:_________________)</v>
      </c>
      <c r="B54" s="1295"/>
      <c r="C54" s="361"/>
      <c r="D54" s="1317">
        <f t="shared" si="1"/>
        <v>0</v>
      </c>
    </row>
    <row r="55" spans="1:6" ht="15">
      <c r="A55" s="414" t="str">
        <f>'1. Devel. Bud'!A52</f>
        <v>Subtotal</v>
      </c>
      <c r="B55" s="415"/>
      <c r="C55" s="412" t="e">
        <f>'1. Devel. Bud'!D52</f>
        <v>#DIV/0!</v>
      </c>
      <c r="D55" s="1324">
        <f>SUM(D40:D48)</f>
        <v>0</v>
      </c>
      <c r="F55" s="554"/>
    </row>
    <row r="56" spans="1:4" ht="15">
      <c r="A56" s="411"/>
      <c r="B56" s="395"/>
      <c r="C56" s="361"/>
      <c r="D56" s="1320"/>
    </row>
    <row r="57" spans="1:4" ht="15.75">
      <c r="A57" s="413" t="str">
        <f>'1. Devel. Bud'!A54</f>
        <v>Carrying Costs </v>
      </c>
      <c r="B57" s="395"/>
      <c r="C57" s="361"/>
      <c r="D57" s="1320"/>
    </row>
    <row r="58" spans="1:4" ht="15">
      <c r="A58" s="411" t="str">
        <f>'1. Devel. Bud'!A55</f>
        <v>Construction Interest</v>
      </c>
      <c r="B58" s="395" t="s">
        <v>223</v>
      </c>
      <c r="C58" s="361" t="e">
        <f>'1. Devel. Bud'!D55</f>
        <v>#DIV/0!</v>
      </c>
      <c r="D58" s="1297" t="e">
        <f>IF(B58="Y",(C58*$H$9),0)</f>
        <v>#DIV/0!</v>
      </c>
    </row>
    <row r="59" spans="1:4" ht="15">
      <c r="A59" s="411" t="str">
        <f>'1. Devel. Bud'!A56</f>
        <v>Negative Arbitrage</v>
      </c>
      <c r="B59" s="395" t="s">
        <v>223</v>
      </c>
      <c r="C59" s="361" t="e">
        <f>'1. Devel. Bud'!D56</f>
        <v>#DIV/0!</v>
      </c>
      <c r="D59" s="1321" t="e">
        <f>IF(B59="Y",(C59*$H$9),0)</f>
        <v>#DIV/0!</v>
      </c>
    </row>
    <row r="60" spans="1:4" ht="15">
      <c r="A60" s="411" t="str">
        <f>'1. Devel. Bud'!A57</f>
        <v>Mortgage Recording Tax</v>
      </c>
      <c r="B60" s="395" t="s">
        <v>222</v>
      </c>
      <c r="C60" s="361">
        <f>'1. Devel. Bud'!D57</f>
        <v>0</v>
      </c>
      <c r="D60" s="1316"/>
    </row>
    <row r="61" spans="1:4" ht="15">
      <c r="A61" s="411" t="str">
        <f>'1. Devel. Bud'!A58</f>
        <v>Water/Sewer &amp; Real Estate Taxes</v>
      </c>
      <c r="B61" s="395" t="s">
        <v>223</v>
      </c>
      <c r="C61" s="361">
        <f>'1. Devel. Bud'!D58</f>
        <v>0</v>
      </c>
      <c r="D61" s="1321" t="e">
        <f>IF(B61="Y",(C61*$H$9),0)</f>
        <v>#DIV/0!</v>
      </c>
    </row>
    <row r="62" spans="1:4" ht="15">
      <c r="A62" s="411" t="str">
        <f>'1. Devel. Bud'!A59</f>
        <v>Utilities</v>
      </c>
      <c r="B62" s="395" t="s">
        <v>223</v>
      </c>
      <c r="C62" s="361">
        <f>'1. Devel. Bud'!D59</f>
        <v>0</v>
      </c>
      <c r="D62" s="1321" t="e">
        <f>IF(B62="Y",(C62*$H$9),0)</f>
        <v>#DIV/0!</v>
      </c>
    </row>
    <row r="63" spans="1:4" ht="15">
      <c r="A63" s="411" t="str">
        <f>'1. Devel. Bud'!A60</f>
        <v>Insurance</v>
      </c>
      <c r="B63" s="395" t="s">
        <v>223</v>
      </c>
      <c r="C63" s="361">
        <f>'1. Devel. Bud'!D60</f>
        <v>0</v>
      </c>
      <c r="D63" s="1321" t="e">
        <f>IF(B63="Y",(C63*$H$9),0)</f>
        <v>#DIV/0!</v>
      </c>
    </row>
    <row r="64" spans="1:4" ht="15">
      <c r="A64" s="411" t="str">
        <f>'1. Devel. Bud'!A61</f>
        <v>Construction Monitor</v>
      </c>
      <c r="B64" s="395" t="s">
        <v>223</v>
      </c>
      <c r="C64" s="361">
        <f>'1. Devel. Bud'!D61</f>
        <v>0</v>
      </c>
      <c r="D64" s="1321" t="e">
        <f>IF(B64="Y",(C64*$H$9),0)</f>
        <v>#DIV/0!</v>
      </c>
    </row>
    <row r="65" spans="1:4" ht="15">
      <c r="A65" s="411" t="str">
        <f>'1. Devel. Bud'!A62</f>
        <v>Marketing</v>
      </c>
      <c r="B65" s="395" t="s">
        <v>222</v>
      </c>
      <c r="C65" s="361">
        <f>'1. Devel. Bud'!D62</f>
        <v>0</v>
      </c>
      <c r="D65" s="1316"/>
    </row>
    <row r="66" spans="1:4" ht="15">
      <c r="A66" s="411" t="str">
        <f>'1. Devel. Bud'!A63</f>
        <v>Security</v>
      </c>
      <c r="B66" s="395" t="s">
        <v>223</v>
      </c>
      <c r="C66" s="361">
        <f>'1. Devel. Bud'!D63</f>
        <v>0</v>
      </c>
      <c r="D66" s="1321" t="e">
        <f>IF(B66="Y",(C66*$H$9),0)</f>
        <v>#DIV/0!</v>
      </c>
    </row>
    <row r="67" spans="1:4" ht="15">
      <c r="A67" s="411" t="str">
        <f>'1. Devel. Bud'!A64</f>
        <v>Other (Specify:_________________)</v>
      </c>
      <c r="B67" s="1295"/>
      <c r="C67" s="361">
        <f>'1. Devel. Bud'!D64</f>
        <v>0</v>
      </c>
      <c r="D67" s="1319">
        <f>IF(B67="Y",(C67*$H$9),0)</f>
        <v>0</v>
      </c>
    </row>
    <row r="68" spans="1:4" ht="15">
      <c r="A68" s="414" t="str">
        <f>'1. Devel. Bud'!A65</f>
        <v>Subtotal</v>
      </c>
      <c r="B68" s="415"/>
      <c r="C68" s="412" t="e">
        <f>'1. Devel. Bud'!D65</f>
        <v>#DIV/0!</v>
      </c>
      <c r="D68" s="1323" t="e">
        <f>SUM(D58:D66)</f>
        <v>#DIV/0!</v>
      </c>
    </row>
    <row r="69" spans="1:4" ht="15">
      <c r="A69" s="411"/>
      <c r="B69" s="395"/>
      <c r="C69" s="361"/>
      <c r="D69" s="1320"/>
    </row>
    <row r="70" spans="1:4" ht="15.75">
      <c r="A70" s="413" t="str">
        <f>'1. Devel. Bud'!A67</f>
        <v>Reserves and Contingency</v>
      </c>
      <c r="B70" s="395"/>
      <c r="C70" s="361"/>
      <c r="D70" s="1320"/>
    </row>
    <row r="71" spans="1:4" ht="15">
      <c r="A71" s="411" t="str">
        <f>'1. Devel. Bud'!A68</f>
        <v>Social Service Reserve</v>
      </c>
      <c r="B71" s="395" t="s">
        <v>222</v>
      </c>
      <c r="C71" s="361">
        <f>'1. Devel. Bud'!D68</f>
        <v>0</v>
      </c>
      <c r="D71" s="1318"/>
    </row>
    <row r="72" spans="1:4" ht="15">
      <c r="A72" s="411" t="str">
        <f>'1. Devel. Bud'!A69</f>
        <v>Capitalized Operating Reserve</v>
      </c>
      <c r="B72" s="395" t="s">
        <v>222</v>
      </c>
      <c r="C72" s="361">
        <f>'1. Devel. Bud'!D69</f>
        <v>0</v>
      </c>
      <c r="D72" s="1316"/>
    </row>
    <row r="73" spans="1:4" ht="15">
      <c r="A73" s="411" t="str">
        <f>'1. Devel. Bud'!A70</f>
        <v>Additional Operating Reserve (if applicable)</v>
      </c>
      <c r="B73" s="395" t="s">
        <v>222</v>
      </c>
      <c r="C73" s="361">
        <f>'1. Devel. Bud'!D70</f>
        <v>0</v>
      </c>
      <c r="D73" s="1316"/>
    </row>
    <row r="74" spans="1:4" ht="15">
      <c r="A74" s="411" t="str">
        <f>'1. Devel. Bud'!A71</f>
        <v>Soft Cost Contingency</v>
      </c>
      <c r="B74" s="395" t="s">
        <v>223</v>
      </c>
      <c r="C74" s="361">
        <f>'1. Devel. Bud'!D71</f>
        <v>0</v>
      </c>
      <c r="D74" s="1319" t="e">
        <f>IF(B74="Y",(C74*$H$9),0)</f>
        <v>#DIV/0!</v>
      </c>
    </row>
    <row r="75" spans="1:4" ht="15">
      <c r="A75" s="414" t="str">
        <f>'1. Devel. Bud'!A72</f>
        <v>Subtotal</v>
      </c>
      <c r="B75" s="395"/>
      <c r="C75" s="412">
        <f>'1. Devel. Bud'!D72</f>
        <v>0</v>
      </c>
      <c r="D75" s="1323" t="e">
        <f>SUM(D70:D74)</f>
        <v>#DIV/0!</v>
      </c>
    </row>
    <row r="76" spans="1:4" ht="15">
      <c r="A76" s="411"/>
      <c r="B76" s="395"/>
      <c r="C76" s="361"/>
      <c r="D76" s="1320"/>
    </row>
    <row r="77" spans="1:4" ht="15">
      <c r="A77" s="410" t="str">
        <f>'1. Devel. Bud'!A74</f>
        <v>Total Soft Costs</v>
      </c>
      <c r="B77" s="395"/>
      <c r="C77" s="412" t="e">
        <f>'1. Devel. Bud'!D74</f>
        <v>#DIV/0!</v>
      </c>
      <c r="D77" s="1323" t="e">
        <f>D37+D55+D68+D75</f>
        <v>#DIV/0!</v>
      </c>
    </row>
    <row r="78" spans="1:4" ht="15">
      <c r="A78" s="411"/>
      <c r="B78" s="395"/>
      <c r="C78" s="361"/>
      <c r="D78" s="1320"/>
    </row>
    <row r="79" spans="1:4" ht="15.75">
      <c r="A79" s="413" t="str">
        <f>'1. Devel. Bud'!A76</f>
        <v>Developer's Fee</v>
      </c>
      <c r="B79" s="395" t="s">
        <v>223</v>
      </c>
      <c r="C79" s="361">
        <f>'1. Devel. Bud'!D76</f>
        <v>0</v>
      </c>
      <c r="D79" s="1321" t="e">
        <f>IF(B79="Y",(C79*$H$9),0)</f>
        <v>#DIV/0!</v>
      </c>
    </row>
    <row r="80" spans="1:4" ht="15">
      <c r="A80" s="411"/>
      <c r="B80" s="395"/>
      <c r="C80" s="361"/>
      <c r="D80" s="1320"/>
    </row>
    <row r="81" spans="1:4" ht="15.75">
      <c r="A81" s="416" t="str">
        <f>'1. Devel. Bud'!A79</f>
        <v>Total Development Cost:</v>
      </c>
      <c r="B81" s="417"/>
      <c r="C81" s="426" t="e">
        <f>'1. Devel. Bud'!D79</f>
        <v>#DIV/0!</v>
      </c>
      <c r="D81" s="1325" t="e">
        <f>D18+D77+D79</f>
        <v>#DIV/0!</v>
      </c>
    </row>
  </sheetData>
  <sheetProtection/>
  <printOptions/>
  <pageMargins left="0.75" right="0.75" top="1" bottom="1" header="0.5" footer="0.5"/>
  <pageSetup firstPageNumber="213" useFirstPageNumber="1" fitToHeight="1" fitToWidth="1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6"/>
  <sheetViews>
    <sheetView zoomScale="85" zoomScaleNormal="85" zoomScalePageLayoutView="0" workbookViewId="0" topLeftCell="A1">
      <selection activeCell="A4" sqref="A4"/>
    </sheetView>
  </sheetViews>
  <sheetFormatPr defaultColWidth="7.10546875" defaultRowHeight="15"/>
  <cols>
    <col min="1" max="1" width="3.4453125" style="458" customWidth="1"/>
    <col min="2" max="2" width="18.5546875" style="454" bestFit="1" customWidth="1"/>
    <col min="3" max="3" width="17.77734375" style="454" customWidth="1"/>
    <col min="4" max="4" width="16.6640625" style="461" customWidth="1"/>
    <col min="5" max="16384" width="7.10546875" style="454" customWidth="1"/>
  </cols>
  <sheetData>
    <row r="1" spans="1:6" s="44" customFormat="1" ht="16.5" customHeight="1">
      <c r="A1" s="1" t="str">
        <f>'1. Sources and Use'!A1</f>
        <v>Willets Point Phase 1 Development</v>
      </c>
      <c r="C1" s="24"/>
      <c r="D1" s="445" t="str">
        <f>'1. Sources and Use'!C2</f>
        <v>Units:</v>
      </c>
      <c r="E1" s="1">
        <f>'1. Units &amp; Income'!B24</f>
        <v>0</v>
      </c>
      <c r="F1" s="25"/>
    </row>
    <row r="2" spans="1:6" s="44" customFormat="1" ht="16.5" customHeight="1">
      <c r="A2" s="1" t="str">
        <f>'1. Sources and Use'!A2</f>
        <v>Building 1</v>
      </c>
      <c r="C2" s="24"/>
      <c r="D2" s="84"/>
      <c r="E2" s="1"/>
      <c r="F2" s="25"/>
    </row>
    <row r="4" spans="1:4" s="456" customFormat="1" ht="12.75">
      <c r="A4" s="455" t="s">
        <v>250</v>
      </c>
      <c r="D4" s="457" t="s">
        <v>251</v>
      </c>
    </row>
    <row r="6" spans="1:4" ht="20.25" customHeight="1">
      <c r="A6" s="458">
        <v>1</v>
      </c>
      <c r="B6" s="454" t="s">
        <v>252</v>
      </c>
      <c r="D6" s="459"/>
    </row>
    <row r="7" spans="1:4" ht="20.25" customHeight="1">
      <c r="A7" s="458">
        <v>2</v>
      </c>
      <c r="B7" s="454" t="s">
        <v>253</v>
      </c>
      <c r="D7" s="459"/>
    </row>
    <row r="8" spans="1:4" ht="20.25" customHeight="1">
      <c r="A8" s="458">
        <v>3</v>
      </c>
      <c r="B8" s="481" t="s">
        <v>282</v>
      </c>
      <c r="D8" s="459"/>
    </row>
    <row r="9" spans="1:4" ht="20.25" customHeight="1">
      <c r="A9" s="458">
        <v>4</v>
      </c>
      <c r="B9" s="454" t="s">
        <v>254</v>
      </c>
      <c r="D9" s="459"/>
    </row>
    <row r="10" spans="1:4" ht="20.25" customHeight="1">
      <c r="A10" s="458">
        <v>5</v>
      </c>
      <c r="B10" s="454" t="s">
        <v>255</v>
      </c>
      <c r="D10" s="459"/>
    </row>
    <row r="11" spans="1:4" ht="20.25" customHeight="1">
      <c r="A11" s="458" t="s">
        <v>256</v>
      </c>
      <c r="B11" s="454" t="s">
        <v>257</v>
      </c>
      <c r="D11" s="459"/>
    </row>
    <row r="12" spans="1:4" ht="20.25" customHeight="1">
      <c r="A12" s="458" t="s">
        <v>258</v>
      </c>
      <c r="B12" s="454" t="s">
        <v>259</v>
      </c>
      <c r="D12" s="459"/>
    </row>
    <row r="13" spans="1:4" ht="20.25" customHeight="1">
      <c r="A13" s="458">
        <v>7</v>
      </c>
      <c r="B13" s="454" t="s">
        <v>260</v>
      </c>
      <c r="D13" s="459"/>
    </row>
    <row r="14" spans="1:4" ht="20.25" customHeight="1">
      <c r="A14" s="458">
        <v>8</v>
      </c>
      <c r="B14" s="454" t="s">
        <v>261</v>
      </c>
      <c r="D14" s="459"/>
    </row>
    <row r="15" spans="1:4" ht="20.25" customHeight="1">
      <c r="A15" s="458">
        <v>9</v>
      </c>
      <c r="B15" s="454" t="s">
        <v>262</v>
      </c>
      <c r="D15" s="459"/>
    </row>
    <row r="16" spans="1:4" ht="20.25" customHeight="1">
      <c r="A16" s="458">
        <v>10</v>
      </c>
      <c r="B16" s="454" t="s">
        <v>263</v>
      </c>
      <c r="D16" s="459"/>
    </row>
    <row r="17" spans="1:4" ht="20.25" customHeight="1">
      <c r="A17" s="458">
        <v>11</v>
      </c>
      <c r="B17" s="454" t="s">
        <v>264</v>
      </c>
      <c r="D17" s="459"/>
    </row>
    <row r="18" spans="1:4" ht="20.25" customHeight="1">
      <c r="A18" s="458">
        <v>12</v>
      </c>
      <c r="B18" s="454" t="s">
        <v>265</v>
      </c>
      <c r="D18" s="459"/>
    </row>
    <row r="19" spans="1:4" ht="20.25" customHeight="1">
      <c r="A19" s="458">
        <v>13</v>
      </c>
      <c r="B19" s="454" t="s">
        <v>266</v>
      </c>
      <c r="D19" s="459"/>
    </row>
    <row r="20" spans="1:4" ht="20.25" customHeight="1">
      <c r="A20" s="458">
        <v>14</v>
      </c>
      <c r="B20" s="454" t="s">
        <v>267</v>
      </c>
      <c r="D20" s="459"/>
    </row>
    <row r="21" spans="1:4" ht="20.25" customHeight="1">
      <c r="A21" s="458">
        <v>15</v>
      </c>
      <c r="B21" s="454" t="s">
        <v>268</v>
      </c>
      <c r="D21" s="459"/>
    </row>
    <row r="22" spans="1:4" ht="20.25" customHeight="1">
      <c r="A22" s="458">
        <v>16</v>
      </c>
      <c r="B22" s="454" t="s">
        <v>269</v>
      </c>
      <c r="D22" s="459"/>
    </row>
    <row r="23" spans="1:4" ht="20.25" customHeight="1">
      <c r="A23" s="458" t="s">
        <v>270</v>
      </c>
      <c r="B23" s="454" t="s">
        <v>20</v>
      </c>
      <c r="D23" s="459"/>
    </row>
    <row r="24" spans="1:4" ht="20.25" customHeight="1">
      <c r="A24" s="458" t="s">
        <v>271</v>
      </c>
      <c r="B24" s="454" t="s">
        <v>272</v>
      </c>
      <c r="D24" s="459"/>
    </row>
    <row r="25" spans="1:4" ht="20.25" customHeight="1">
      <c r="A25" s="458">
        <v>18</v>
      </c>
      <c r="B25" s="454" t="s">
        <v>273</v>
      </c>
      <c r="D25" s="459"/>
    </row>
    <row r="26" spans="1:4" ht="20.25" customHeight="1">
      <c r="A26" s="458">
        <v>19</v>
      </c>
      <c r="B26" s="454" t="s">
        <v>274</v>
      </c>
      <c r="D26" s="459"/>
    </row>
    <row r="27" spans="1:4" ht="20.25" customHeight="1">
      <c r="A27" s="458">
        <v>20</v>
      </c>
      <c r="B27" s="454" t="s">
        <v>275</v>
      </c>
      <c r="D27" s="459"/>
    </row>
    <row r="28" spans="1:4" ht="20.25" customHeight="1">
      <c r="A28" s="458">
        <v>21</v>
      </c>
      <c r="B28" s="454" t="s">
        <v>276</v>
      </c>
      <c r="D28" s="459"/>
    </row>
    <row r="29" spans="1:4" ht="20.25" customHeight="1">
      <c r="A29" s="458">
        <v>22</v>
      </c>
      <c r="B29" s="454" t="s">
        <v>277</v>
      </c>
      <c r="D29" s="459"/>
    </row>
    <row r="30" spans="1:4" ht="20.25" customHeight="1">
      <c r="A30" s="458">
        <v>23</v>
      </c>
      <c r="B30" s="454" t="s">
        <v>277</v>
      </c>
      <c r="D30" s="459"/>
    </row>
    <row r="31" spans="1:4" ht="20.25" customHeight="1">
      <c r="A31" s="460">
        <v>24</v>
      </c>
      <c r="B31" s="454" t="s">
        <v>277</v>
      </c>
      <c r="D31" s="459"/>
    </row>
    <row r="32" spans="1:4" s="456" customFormat="1" ht="20.25" customHeight="1">
      <c r="A32" s="455">
        <v>25</v>
      </c>
      <c r="B32" s="456" t="s">
        <v>289</v>
      </c>
      <c r="D32" s="459">
        <f>SUM(D6:D31)</f>
        <v>0</v>
      </c>
    </row>
    <row r="33" spans="1:4" ht="20.25" customHeight="1">
      <c r="A33" s="458">
        <v>26</v>
      </c>
      <c r="B33" s="454" t="s">
        <v>108</v>
      </c>
      <c r="D33" s="459"/>
    </row>
    <row r="34" spans="1:4" ht="20.25" customHeight="1">
      <c r="A34" s="458">
        <v>27</v>
      </c>
      <c r="B34" s="454" t="s">
        <v>278</v>
      </c>
      <c r="D34" s="459"/>
    </row>
    <row r="35" spans="1:4" ht="20.25" customHeight="1">
      <c r="A35" s="460">
        <v>28</v>
      </c>
      <c r="B35" s="454" t="s">
        <v>279</v>
      </c>
      <c r="D35" s="459"/>
    </row>
    <row r="36" spans="1:4" s="456" customFormat="1" ht="20.25" customHeight="1">
      <c r="A36" s="456">
        <v>29</v>
      </c>
      <c r="B36" s="456" t="s">
        <v>290</v>
      </c>
      <c r="D36" s="459">
        <f>SUM(D32:D35)</f>
        <v>0</v>
      </c>
    </row>
  </sheetData>
  <sheetProtection/>
  <printOptions horizontalCentered="1"/>
  <pageMargins left="0.75" right="0.75" top="1" bottom="1" header="0.5" footer="0.5"/>
  <pageSetup firstPageNumber="214" useFirstPageNumber="1"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V21"/>
  <sheetViews>
    <sheetView zoomScale="85" zoomScaleNormal="85" zoomScalePageLayoutView="0" workbookViewId="0" topLeftCell="C1">
      <selection activeCell="A1" sqref="A1"/>
    </sheetView>
  </sheetViews>
  <sheetFormatPr defaultColWidth="7.10546875" defaultRowHeight="15"/>
  <cols>
    <col min="1" max="1" width="2.6640625" style="454" customWidth="1"/>
    <col min="2" max="2" width="23.21484375" style="454" customWidth="1"/>
    <col min="3" max="3" width="7.6640625" style="454" customWidth="1"/>
    <col min="4" max="4" width="15.6640625" style="454" customWidth="1"/>
    <col min="5" max="16384" width="7.10546875" style="454" customWidth="1"/>
  </cols>
  <sheetData>
    <row r="1" s="478" customFormat="1" ht="15.75">
      <c r="A1" s="478" t="str">
        <f>'2. Sources and Use'!A1</f>
        <v>Willets Point Phase 1 Development</v>
      </c>
    </row>
    <row r="2" spans="1:22" s="480" customFormat="1" ht="20.25" customHeight="1">
      <c r="A2" s="478" t="str">
        <f>'2. Sources and Use'!A2</f>
        <v>Building 2</v>
      </c>
      <c r="B2" s="479"/>
      <c r="C2" s="479"/>
      <c r="D2" s="479"/>
      <c r="E2" s="456" t="str">
        <f>'2. Sources and Use'!C2</f>
        <v>Units:</v>
      </c>
      <c r="F2" s="740">
        <f>'2. Units &amp; Income'!I2</f>
        <v>0</v>
      </c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</row>
    <row r="3" ht="11.25" customHeight="1">
      <c r="A3" s="462"/>
    </row>
    <row r="4" ht="11.25" customHeight="1">
      <c r="A4" s="462"/>
    </row>
    <row r="5" ht="12.75">
      <c r="A5" s="456" t="s">
        <v>280</v>
      </c>
    </row>
    <row r="7" ht="12.75">
      <c r="A7" s="454" t="s">
        <v>281</v>
      </c>
    </row>
    <row r="9" spans="1:4" ht="18" customHeight="1">
      <c r="A9" s="454">
        <v>1</v>
      </c>
      <c r="B9" s="700" t="s">
        <v>347</v>
      </c>
      <c r="D9" s="463">
        <f>'2. Units &amp; Income'!B7</f>
        <v>0</v>
      </c>
    </row>
    <row r="10" spans="1:4" ht="18" customHeight="1">
      <c r="A10" s="454">
        <f aca="true" t="shared" si="0" ref="A10:A15">A9+1</f>
        <v>2</v>
      </c>
      <c r="B10" s="700" t="s">
        <v>474</v>
      </c>
      <c r="D10" s="463"/>
    </row>
    <row r="11" spans="1:4" ht="18" customHeight="1">
      <c r="A11" s="454">
        <f t="shared" si="0"/>
        <v>3</v>
      </c>
      <c r="B11" s="700" t="s">
        <v>348</v>
      </c>
      <c r="D11" s="463">
        <f>'2. Units &amp; Income'!B8</f>
        <v>0</v>
      </c>
    </row>
    <row r="12" spans="1:4" ht="18" customHeight="1">
      <c r="A12" s="454">
        <f t="shared" si="0"/>
        <v>4</v>
      </c>
      <c r="B12" s="700" t="s">
        <v>349</v>
      </c>
      <c r="D12" s="463">
        <f>'2. Units &amp; Income'!B9</f>
        <v>0</v>
      </c>
    </row>
    <row r="13" spans="1:4" ht="18" customHeight="1">
      <c r="A13" s="454">
        <f t="shared" si="0"/>
        <v>5</v>
      </c>
      <c r="B13" s="701" t="s">
        <v>350</v>
      </c>
      <c r="D13" s="463"/>
    </row>
    <row r="14" spans="1:4" ht="18" customHeight="1">
      <c r="A14" s="454">
        <f t="shared" si="0"/>
        <v>6</v>
      </c>
      <c r="B14" s="700" t="s">
        <v>473</v>
      </c>
      <c r="D14" s="463"/>
    </row>
    <row r="15" spans="1:4" ht="18" customHeight="1">
      <c r="A15" s="454">
        <f t="shared" si="0"/>
        <v>7</v>
      </c>
      <c r="B15" s="702" t="s">
        <v>485</v>
      </c>
      <c r="D15" s="464">
        <f>SUM(D9:D14)</f>
        <v>0</v>
      </c>
    </row>
    <row r="18" ht="18" customHeight="1">
      <c r="A18" s="699" t="s">
        <v>486</v>
      </c>
    </row>
    <row r="19" spans="2:4" ht="18" customHeight="1">
      <c r="B19" s="743" t="s">
        <v>487</v>
      </c>
      <c r="D19" s="742"/>
    </row>
    <row r="20" spans="2:4" ht="18" customHeight="1">
      <c r="B20" s="743" t="s">
        <v>488</v>
      </c>
      <c r="D20" s="742"/>
    </row>
    <row r="21" spans="2:4" ht="18" customHeight="1">
      <c r="B21" s="741" t="s">
        <v>387</v>
      </c>
      <c r="D21" s="742"/>
    </row>
  </sheetData>
  <sheetProtection/>
  <printOptions horizontalCentered="1"/>
  <pageMargins left="0.75" right="0.75" top="1" bottom="1" header="0.5" footer="0.5"/>
  <pageSetup firstPageNumber="215" useFirstPageNumber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1:H40"/>
  <sheetViews>
    <sheetView defaultGridColor="0" zoomScale="75" zoomScaleNormal="75" zoomScaleSheetLayoutView="75" zoomScalePageLayoutView="0" colorId="22" workbookViewId="0" topLeftCell="A1">
      <selection activeCell="A7" sqref="A7"/>
    </sheetView>
  </sheetViews>
  <sheetFormatPr defaultColWidth="9.77734375" defaultRowHeight="15"/>
  <cols>
    <col min="1" max="1" width="41.5546875" style="44" customWidth="1"/>
    <col min="2" max="2" width="15.88671875" style="44" customWidth="1"/>
    <col min="3" max="3" width="13.99609375" style="58" customWidth="1"/>
    <col min="4" max="4" width="10.77734375" style="60" customWidth="1"/>
    <col min="5" max="16384" width="9.77734375" style="44" customWidth="1"/>
  </cols>
  <sheetData>
    <row r="1" spans="1:8" ht="15.75">
      <c r="A1" s="468" t="s">
        <v>662</v>
      </c>
      <c r="B1" s="50"/>
      <c r="C1" s="428"/>
      <c r="D1" s="203"/>
      <c r="E1" s="18"/>
      <c r="F1" s="18"/>
      <c r="G1" s="18"/>
      <c r="H1" s="18"/>
    </row>
    <row r="2" spans="1:8" ht="15.75">
      <c r="A2" s="427" t="s">
        <v>390</v>
      </c>
      <c r="B2" s="18"/>
      <c r="C2" s="1294" t="str">
        <f>'2. Units &amp; Income'!H2</f>
        <v>Units:</v>
      </c>
      <c r="D2" s="1294">
        <f>'2. Units &amp; Income'!I2</f>
        <v>0</v>
      </c>
      <c r="E2" s="18"/>
      <c r="F2" s="18"/>
      <c r="G2" s="18"/>
      <c r="H2" s="18"/>
    </row>
    <row r="3" spans="1:8" ht="23.25">
      <c r="A3" s="8"/>
      <c r="B3" s="50"/>
      <c r="C3" s="1294" t="str">
        <f>'2. Units &amp; Income'!H3</f>
        <v>Rooms:</v>
      </c>
      <c r="D3" s="1294">
        <f>'2. Units &amp; Income'!I3</f>
        <v>0</v>
      </c>
      <c r="E3" s="18"/>
      <c r="F3" s="18"/>
      <c r="G3" s="18"/>
      <c r="H3" s="18"/>
    </row>
    <row r="4" spans="1:8" ht="15.75">
      <c r="A4" s="25" t="s">
        <v>8</v>
      </c>
      <c r="B4" s="18"/>
      <c r="C4" s="62"/>
      <c r="D4" s="52"/>
      <c r="E4" s="12"/>
      <c r="H4" s="18"/>
    </row>
    <row r="5" spans="1:8" ht="16.5" thickBot="1">
      <c r="A5" s="238"/>
      <c r="B5" s="239"/>
      <c r="C5" s="240"/>
      <c r="D5" s="241"/>
      <c r="E5" s="12"/>
      <c r="F5" s="12"/>
      <c r="G5" s="12"/>
      <c r="H5" s="18"/>
    </row>
    <row r="6" spans="1:8" ht="16.5" thickTop="1">
      <c r="A6" s="249" t="s">
        <v>81</v>
      </c>
      <c r="B6" s="18"/>
      <c r="C6" s="64" t="s">
        <v>124</v>
      </c>
      <c r="D6" s="252" t="s">
        <v>125</v>
      </c>
      <c r="E6" s="12"/>
      <c r="F6" s="12"/>
      <c r="G6" s="21"/>
      <c r="H6" s="18"/>
    </row>
    <row r="7" spans="1:8" ht="15">
      <c r="A7" s="453" t="str">
        <f>'2. Devel. Bud'!A85</f>
        <v>HDC Bond First Mortgage </v>
      </c>
      <c r="B7" s="21">
        <f>'2. Devel. Bud'!D85</f>
        <v>0</v>
      </c>
      <c r="C7" s="63" t="e">
        <f>B7/'2. Units &amp; Income'!$B$24</f>
        <v>#DIV/0!</v>
      </c>
      <c r="D7" s="39" t="e">
        <f>B7/$B$15</f>
        <v>#DIV/0!</v>
      </c>
      <c r="E7" s="53" t="s">
        <v>119</v>
      </c>
      <c r="F7" s="12"/>
      <c r="G7" s="17"/>
      <c r="H7" s="18"/>
    </row>
    <row r="8" spans="1:8" ht="15">
      <c r="A8" s="453" t="str">
        <f>'2. Devel. Bud'!A86</f>
        <v>HDC Second Mortgage</v>
      </c>
      <c r="B8" s="21">
        <f>'2. Devel. Bud'!D86</f>
        <v>0</v>
      </c>
      <c r="C8" s="63" t="e">
        <f>B8/'2. Units &amp; Income'!$B$24</f>
        <v>#DIV/0!</v>
      </c>
      <c r="D8" s="39" t="e">
        <f>B8/$B$15</f>
        <v>#DIV/0!</v>
      </c>
      <c r="E8" s="12"/>
      <c r="F8" s="12"/>
      <c r="G8" s="17"/>
      <c r="H8" s="18"/>
    </row>
    <row r="9" spans="1:8" ht="15">
      <c r="A9" s="453" t="str">
        <f>'2. Devel. Bud'!A87</f>
        <v>HPD Subsidy Third Mortgage</v>
      </c>
      <c r="B9" s="21">
        <f>'2. Devel. Bud'!D87</f>
        <v>0</v>
      </c>
      <c r="C9" s="63" t="e">
        <f>B9/'2. Units &amp; Income'!$B$24</f>
        <v>#DIV/0!</v>
      </c>
      <c r="D9" s="39" t="e">
        <f>B9/$B$15</f>
        <v>#DIV/0!</v>
      </c>
      <c r="E9" s="12"/>
      <c r="F9" s="12"/>
      <c r="G9" s="17"/>
      <c r="H9" s="18"/>
    </row>
    <row r="10" spans="1:8" ht="15">
      <c r="A10" s="453" t="str">
        <f>'2. Devel. Bud'!A88</f>
        <v>Fourth Mortgage (Lender:                                )</v>
      </c>
      <c r="B10" s="21">
        <f>'2. Devel. Bud'!D88</f>
        <v>0</v>
      </c>
      <c r="C10" s="63" t="e">
        <f>B10/'2. Units &amp; Income'!$B$24</f>
        <v>#DIV/0!</v>
      </c>
      <c r="D10" s="39" t="e">
        <f>B10/$B$15</f>
        <v>#DIV/0!</v>
      </c>
      <c r="E10" s="12"/>
      <c r="F10" s="12"/>
      <c r="G10" s="17"/>
      <c r="H10" s="18"/>
    </row>
    <row r="11" spans="1:8" ht="15">
      <c r="A11" s="534" t="str">
        <f>'2. Devel. Bud'!A89</f>
        <v>Developer Equity</v>
      </c>
      <c r="B11" s="190">
        <f>'2. Devel. Bud'!D89</f>
        <v>0</v>
      </c>
      <c r="C11" s="63" t="e">
        <f>B11/'2. Units &amp; Income'!$B$24</f>
        <v>#DIV/0!</v>
      </c>
      <c r="D11" s="39" t="e">
        <f>B11/$B$15</f>
        <v>#DIV/0!</v>
      </c>
      <c r="E11" s="12"/>
      <c r="F11" s="12"/>
      <c r="G11" s="17"/>
      <c r="H11" s="18"/>
    </row>
    <row r="12" spans="1:8" ht="15">
      <c r="A12" s="534" t="str">
        <f>'2. Devel. Bud'!A90</f>
        <v>Deferred Developer's Fee</v>
      </c>
      <c r="B12" s="190">
        <f>'2. Devel. Bud'!D90</f>
        <v>0</v>
      </c>
      <c r="C12" s="63"/>
      <c r="D12" s="39"/>
      <c r="E12" s="12"/>
      <c r="F12" s="12"/>
      <c r="G12" s="17"/>
      <c r="H12" s="18"/>
    </row>
    <row r="13" spans="1:8" ht="15">
      <c r="A13" s="534" t="str">
        <f>'2. Devel. Bud'!A91</f>
        <v>Other source (Specify:                                )</v>
      </c>
      <c r="B13" s="190">
        <f>'2. Devel. Bud'!D91</f>
        <v>0</v>
      </c>
      <c r="C13" s="63"/>
      <c r="D13" s="39"/>
      <c r="E13" s="12"/>
      <c r="F13" s="12"/>
      <c r="G13" s="17"/>
      <c r="H13" s="18"/>
    </row>
    <row r="14" spans="1:8" ht="15">
      <c r="A14" s="169"/>
      <c r="B14" s="433"/>
      <c r="C14" s="63"/>
      <c r="D14" s="39"/>
      <c r="E14" s="18"/>
      <c r="F14" s="22"/>
      <c r="G14" s="17"/>
      <c r="H14" s="54"/>
    </row>
    <row r="15" spans="1:8" ht="15">
      <c r="A15" s="66" t="s">
        <v>9</v>
      </c>
      <c r="B15" s="245">
        <f>SUM(B7:B13)</f>
        <v>0</v>
      </c>
      <c r="C15" s="590" t="e">
        <f>B15/'2. Units &amp; Income'!$B$24</f>
        <v>#DIV/0!</v>
      </c>
      <c r="D15" s="248" t="e">
        <f>SUM(D7:D13)</f>
        <v>#DIV/0!</v>
      </c>
      <c r="E15" s="12"/>
      <c r="F15" s="55"/>
      <c r="G15" s="17"/>
      <c r="H15" s="18"/>
    </row>
    <row r="16" spans="1:8" ht="15.75" thickBot="1">
      <c r="A16" s="239"/>
      <c r="B16" s="242"/>
      <c r="C16" s="243"/>
      <c r="D16" s="244"/>
      <c r="E16" s="12"/>
      <c r="F16" s="12"/>
      <c r="G16" s="12"/>
      <c r="H16" s="18"/>
    </row>
    <row r="17" spans="1:8" ht="16.5" thickTop="1">
      <c r="A17" s="249" t="s">
        <v>76</v>
      </c>
      <c r="B17" s="171"/>
      <c r="C17" s="63"/>
      <c r="D17" s="247"/>
      <c r="E17" s="12"/>
      <c r="F17" s="12"/>
      <c r="G17" s="21"/>
      <c r="H17" s="18"/>
    </row>
    <row r="18" spans="1:8" ht="15">
      <c r="A18" s="453" t="str">
        <f aca="true" t="shared" si="0" ref="A18:A24">A7</f>
        <v>HDC Bond First Mortgage </v>
      </c>
      <c r="B18" s="185" t="e">
        <f>'2. Devel. Bud'!D95</f>
        <v>#DIV/0!</v>
      </c>
      <c r="C18" s="63" t="e">
        <f>B18/'2. Units &amp; Income'!$B$24</f>
        <v>#DIV/0!</v>
      </c>
      <c r="D18" s="39" t="e">
        <f>B18/B26</f>
        <v>#DIV/0!</v>
      </c>
      <c r="E18" s="12"/>
      <c r="F18" s="12"/>
      <c r="G18" s="17"/>
      <c r="H18" s="18"/>
    </row>
    <row r="19" spans="1:8" ht="15">
      <c r="A19" s="453" t="str">
        <f t="shared" si="0"/>
        <v>HDC Second Mortgage</v>
      </c>
      <c r="B19" s="190">
        <f>'2. Devel. Bud'!D96</f>
        <v>0</v>
      </c>
      <c r="C19" s="63" t="e">
        <f>B19/'2. Units &amp; Income'!$B$24</f>
        <v>#DIV/0!</v>
      </c>
      <c r="D19" s="39" t="e">
        <f>B19/$B$26</f>
        <v>#DIV/0!</v>
      </c>
      <c r="E19" s="12"/>
      <c r="F19" s="12"/>
      <c r="G19" s="17"/>
      <c r="H19" s="18"/>
    </row>
    <row r="20" spans="1:8" ht="15">
      <c r="A20" s="453" t="str">
        <f t="shared" si="0"/>
        <v>HPD Subsidy Third Mortgage</v>
      </c>
      <c r="B20" s="190">
        <f>'2. Devel. Bud'!D97</f>
        <v>0</v>
      </c>
      <c r="C20" s="63" t="e">
        <f>B20/'2. Units &amp; Income'!$B$24</f>
        <v>#DIV/0!</v>
      </c>
      <c r="D20" s="39" t="e">
        <f>B20/$B$26</f>
        <v>#DIV/0!</v>
      </c>
      <c r="E20" s="12"/>
      <c r="F20" s="12"/>
      <c r="G20" s="17"/>
      <c r="H20" s="18"/>
    </row>
    <row r="21" spans="1:8" ht="15">
      <c r="A21" s="453" t="str">
        <f t="shared" si="0"/>
        <v>Fourth Mortgage (Lender:                                )</v>
      </c>
      <c r="B21" s="190">
        <f>'2. Devel. Bud'!D98</f>
        <v>0</v>
      </c>
      <c r="C21" s="63" t="e">
        <f>B21/'2. Units &amp; Income'!$B$24</f>
        <v>#DIV/0!</v>
      </c>
      <c r="D21" s="39" t="e">
        <f>B21/$B$26</f>
        <v>#DIV/0!</v>
      </c>
      <c r="E21" s="12"/>
      <c r="F21" s="12"/>
      <c r="G21" s="17"/>
      <c r="H21" s="18"/>
    </row>
    <row r="22" spans="1:8" ht="15">
      <c r="A22" s="453" t="str">
        <f t="shared" si="0"/>
        <v>Developer Equity</v>
      </c>
      <c r="B22" s="190">
        <f>'2. Devel. Bud'!D99</f>
        <v>0</v>
      </c>
      <c r="C22" s="63" t="e">
        <f>B22/'2. Units &amp; Income'!$B$24</f>
        <v>#DIV/0!</v>
      </c>
      <c r="D22" s="39" t="e">
        <f>B22/$B$26</f>
        <v>#DIV/0!</v>
      </c>
      <c r="E22" s="12"/>
      <c r="F22" s="12"/>
      <c r="G22" s="17"/>
      <c r="H22" s="18"/>
    </row>
    <row r="23" spans="1:8" ht="15">
      <c r="A23" s="453" t="str">
        <f t="shared" si="0"/>
        <v>Deferred Developer's Fee</v>
      </c>
      <c r="B23" s="190">
        <f>'2. Devel. Bud'!D100</f>
        <v>0</v>
      </c>
      <c r="C23" s="63"/>
      <c r="D23" s="39"/>
      <c r="E23" s="12"/>
      <c r="F23" s="12"/>
      <c r="G23" s="17"/>
      <c r="H23" s="18"/>
    </row>
    <row r="24" spans="1:8" ht="15">
      <c r="A24" s="453" t="str">
        <f t="shared" si="0"/>
        <v>Other source (Specify:                                )</v>
      </c>
      <c r="B24" s="190">
        <f>'2. Devel. Bud'!D101</f>
        <v>0</v>
      </c>
      <c r="C24" s="63"/>
      <c r="D24" s="39"/>
      <c r="E24" s="12"/>
      <c r="F24" s="12"/>
      <c r="G24" s="17"/>
      <c r="H24" s="18"/>
    </row>
    <row r="25" spans="1:8" ht="15">
      <c r="A25" s="36"/>
      <c r="B25" s="433"/>
      <c r="C25" s="63"/>
      <c r="D25" s="39"/>
      <c r="E25" s="18"/>
      <c r="F25" s="22"/>
      <c r="G25" s="17"/>
      <c r="H25" s="54"/>
    </row>
    <row r="26" spans="1:8" ht="15">
      <c r="A26" s="66" t="s">
        <v>9</v>
      </c>
      <c r="B26" s="591" t="e">
        <f>SUM(B18:B24)</f>
        <v>#DIV/0!</v>
      </c>
      <c r="C26" s="246" t="e">
        <f>B26/'2. Units &amp; Income'!$B$24</f>
        <v>#DIV/0!</v>
      </c>
      <c r="D26" s="248" t="e">
        <f>SUM(D18:D24)</f>
        <v>#DIV/0!</v>
      </c>
      <c r="E26" s="12"/>
      <c r="F26" s="55"/>
      <c r="G26" s="17"/>
      <c r="H26" s="18"/>
    </row>
    <row r="27" spans="1:8" ht="15.75" thickBot="1">
      <c r="A27" s="18"/>
      <c r="B27" s="253"/>
      <c r="C27" s="254"/>
      <c r="D27" s="52"/>
      <c r="E27" s="12"/>
      <c r="F27" s="55"/>
      <c r="G27" s="17"/>
      <c r="H27" s="18"/>
    </row>
    <row r="28" spans="1:7" ht="16.5" thickTop="1">
      <c r="A28" s="249" t="s">
        <v>201</v>
      </c>
      <c r="B28" s="191"/>
      <c r="C28" s="63"/>
      <c r="D28" s="247"/>
      <c r="E28" s="12"/>
      <c r="F28" s="12"/>
      <c r="G28" s="17"/>
    </row>
    <row r="29" spans="1:7" ht="15">
      <c r="A29" s="36" t="s">
        <v>10</v>
      </c>
      <c r="B29" s="192">
        <f>'2. Devel. Bud'!D6</f>
        <v>0</v>
      </c>
      <c r="C29" s="63" t="e">
        <f>B29/'2. Units &amp; Income'!$B$24</f>
        <v>#DIV/0!</v>
      </c>
      <c r="D29" s="39" t="e">
        <f>B29/$B$34</f>
        <v>#DIV/0!</v>
      </c>
      <c r="E29" s="12"/>
      <c r="F29" s="56"/>
      <c r="G29" s="17"/>
    </row>
    <row r="30" spans="1:7" ht="15">
      <c r="A30" s="36" t="s">
        <v>11</v>
      </c>
      <c r="B30" s="190">
        <f>'2. Devel. Bud'!D15</f>
        <v>0</v>
      </c>
      <c r="C30" s="63" t="e">
        <f>B30/'2. Units &amp; Income'!$B$24</f>
        <v>#DIV/0!</v>
      </c>
      <c r="D30" s="39" t="e">
        <f>B30/$B$34</f>
        <v>#DIV/0!</v>
      </c>
      <c r="E30" s="12"/>
      <c r="F30" s="12"/>
      <c r="G30" s="57"/>
    </row>
    <row r="31" spans="1:7" ht="15">
      <c r="A31" s="82" t="s">
        <v>12</v>
      </c>
      <c r="B31" s="190" t="e">
        <f>'2. Devel. Bud'!D74</f>
        <v>#DIV/0!</v>
      </c>
      <c r="C31" s="63" t="e">
        <f>B31/'2. Units &amp; Income'!$B$24</f>
        <v>#DIV/0!</v>
      </c>
      <c r="D31" s="39" t="e">
        <f>B31/$B$34</f>
        <v>#DIV/0!</v>
      </c>
      <c r="E31" s="12"/>
      <c r="F31" s="12"/>
      <c r="G31" s="57"/>
    </row>
    <row r="32" spans="1:7" ht="15">
      <c r="A32" s="82" t="s">
        <v>13</v>
      </c>
      <c r="B32" s="190">
        <f>'2. Devel. Bud'!D76</f>
        <v>0</v>
      </c>
      <c r="C32" s="63" t="e">
        <f>B32/'2. Units &amp; Income'!$B$24</f>
        <v>#DIV/0!</v>
      </c>
      <c r="D32" s="39" t="e">
        <f>B32/$B$34</f>
        <v>#DIV/0!</v>
      </c>
      <c r="E32" s="12"/>
      <c r="F32" s="12"/>
      <c r="G32" s="57"/>
    </row>
    <row r="33" spans="1:7" ht="15">
      <c r="A33" s="250"/>
      <c r="B33" s="433"/>
      <c r="C33" s="63"/>
      <c r="D33" s="251"/>
      <c r="E33" s="12"/>
      <c r="F33" s="12"/>
      <c r="G33" s="57"/>
    </row>
    <row r="34" spans="1:7" ht="15">
      <c r="A34" s="66" t="s">
        <v>14</v>
      </c>
      <c r="B34" s="245" t="e">
        <f>SUM(B29:B32)</f>
        <v>#DIV/0!</v>
      </c>
      <c r="C34" s="246" t="e">
        <f>B34/'2. Units &amp; Income'!$B$24</f>
        <v>#DIV/0!</v>
      </c>
      <c r="D34" s="248" t="e">
        <f>SUM(D29:D32)</f>
        <v>#DIV/0!</v>
      </c>
      <c r="E34" s="12"/>
      <c r="F34" s="12"/>
      <c r="G34" s="57"/>
    </row>
    <row r="35" spans="1:7" ht="15">
      <c r="A35" s="18"/>
      <c r="B35" s="171"/>
      <c r="C35" s="62"/>
      <c r="D35" s="54"/>
      <c r="E35" s="12"/>
      <c r="F35" s="12"/>
      <c r="G35" s="57"/>
    </row>
    <row r="36" spans="1:7" ht="15">
      <c r="A36" s="18"/>
      <c r="B36" s="193"/>
      <c r="C36" s="62"/>
      <c r="D36" s="54"/>
      <c r="E36" s="12"/>
      <c r="F36" s="12"/>
      <c r="G36" s="12"/>
    </row>
    <row r="37" spans="1:7" ht="15">
      <c r="A37" s="23"/>
      <c r="B37" s="194"/>
      <c r="C37" s="62"/>
      <c r="D37" s="52"/>
      <c r="E37" s="12"/>
      <c r="F37" s="12"/>
      <c r="G37" s="12"/>
    </row>
    <row r="38" spans="1:7" ht="15">
      <c r="A38" s="18"/>
      <c r="B38" s="18"/>
      <c r="C38" s="61"/>
      <c r="D38" s="52"/>
      <c r="E38" s="18"/>
      <c r="F38" s="18"/>
      <c r="G38" s="18"/>
    </row>
    <row r="39" spans="1:7" ht="15">
      <c r="A39" s="18"/>
      <c r="B39" s="18"/>
      <c r="C39" s="61"/>
      <c r="D39" s="52"/>
      <c r="E39" s="18"/>
      <c r="F39" s="18"/>
      <c r="G39" s="18"/>
    </row>
    <row r="40" spans="1:7" ht="15">
      <c r="A40" s="18"/>
      <c r="B40" s="18"/>
      <c r="C40" s="61"/>
      <c r="D40" s="52"/>
      <c r="E40" s="18"/>
      <c r="F40" s="18"/>
      <c r="G40" s="18"/>
    </row>
  </sheetData>
  <sheetProtection/>
  <printOptions/>
  <pageMargins left="0.75" right="0.5" top="0.75" bottom="0.5" header="0.5" footer="0.5"/>
  <pageSetup firstPageNumber="206" useFirstPageNumber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5"/>
    <pageSetUpPr fitToPage="1"/>
  </sheetPr>
  <dimension ref="A1:P111"/>
  <sheetViews>
    <sheetView defaultGridColor="0" zoomScale="70" zoomScaleNormal="70" zoomScalePageLayoutView="0" colorId="22" workbookViewId="0" topLeftCell="A1">
      <selection activeCell="A3" sqref="A3"/>
    </sheetView>
  </sheetViews>
  <sheetFormatPr defaultColWidth="9.77734375" defaultRowHeight="15"/>
  <cols>
    <col min="1" max="1" width="40.99609375" style="44" customWidth="1"/>
    <col min="2" max="2" width="8.5546875" style="44" customWidth="1"/>
    <col min="3" max="3" width="11.99609375" style="44" bestFit="1" customWidth="1"/>
    <col min="4" max="4" width="15.99609375" style="84" customWidth="1"/>
    <col min="5" max="5" width="16.10546875" style="44" customWidth="1"/>
    <col min="6" max="6" width="17.6640625" style="44" customWidth="1"/>
    <col min="7" max="7" width="10.4453125" style="44" customWidth="1"/>
    <col min="8" max="8" width="11.10546875" style="44" customWidth="1"/>
    <col min="9" max="9" width="12.77734375" style="44" customWidth="1"/>
    <col min="10" max="10" width="12.4453125" style="44" customWidth="1"/>
    <col min="11" max="12" width="9.77734375" style="44" customWidth="1"/>
    <col min="13" max="13" width="12.4453125" style="44" customWidth="1"/>
    <col min="14" max="14" width="10.6640625" style="44" bestFit="1" customWidth="1"/>
    <col min="15" max="16384" width="9.77734375" style="44" customWidth="1"/>
  </cols>
  <sheetData>
    <row r="1" spans="1:6" ht="16.5" customHeight="1">
      <c r="A1" s="1" t="str">
        <f>'2. Sources and Use'!A1</f>
        <v>Willets Point Phase 1 Development</v>
      </c>
      <c r="C1" s="24"/>
      <c r="E1" s="1"/>
      <c r="F1" s="25"/>
    </row>
    <row r="2" spans="1:6" ht="16.5" customHeight="1">
      <c r="A2" s="1" t="str">
        <f>'2. Units &amp; Income'!A2</f>
        <v>Building 2</v>
      </c>
      <c r="C2" s="24"/>
      <c r="E2" s="730" t="str">
        <f>'2. Sources and Use'!C2</f>
        <v>Units:</v>
      </c>
      <c r="F2" s="731">
        <f>'2. Units &amp; Income'!B24</f>
        <v>0</v>
      </c>
    </row>
    <row r="3" spans="1:6" ht="15" customHeight="1">
      <c r="A3" s="24"/>
      <c r="B3" s="1"/>
      <c r="C3" s="24"/>
      <c r="E3" s="732" t="s">
        <v>484</v>
      </c>
      <c r="F3" s="731">
        <f>'2. Units &amp; Income'!D24</f>
        <v>0</v>
      </c>
    </row>
    <row r="4" spans="1:6" ht="15.75" customHeight="1">
      <c r="A4" s="1" t="s">
        <v>132</v>
      </c>
      <c r="B4" s="48"/>
      <c r="C4" s="24"/>
      <c r="D4" s="49"/>
      <c r="E4" s="78"/>
      <c r="F4" s="25"/>
    </row>
    <row r="5" spans="1:7" ht="15">
      <c r="A5" s="18"/>
      <c r="B5" s="18"/>
      <c r="C5" s="18"/>
      <c r="D5" s="79" t="s">
        <v>292</v>
      </c>
      <c r="E5" s="18"/>
      <c r="F5" s="18"/>
      <c r="G5" s="18"/>
    </row>
    <row r="6" spans="1:7" ht="15.75">
      <c r="A6" s="398" t="s">
        <v>183</v>
      </c>
      <c r="B6" s="145"/>
      <c r="C6" s="145"/>
      <c r="D6" s="566"/>
      <c r="E6" s="713"/>
      <c r="F6" s="26"/>
      <c r="G6" s="18"/>
    </row>
    <row r="7" spans="1:10" ht="15.75">
      <c r="A7" s="142"/>
      <c r="B7" s="169"/>
      <c r="C7" s="168"/>
      <c r="D7" s="177"/>
      <c r="E7" s="65"/>
      <c r="F7" s="37"/>
      <c r="G7" s="18"/>
      <c r="J7" s="44" t="s">
        <v>119</v>
      </c>
    </row>
    <row r="8" spans="1:10" ht="15">
      <c r="A8" s="396" t="s">
        <v>184</v>
      </c>
      <c r="B8" s="80"/>
      <c r="C8" s="140"/>
      <c r="D8" s="175"/>
      <c r="E8" s="65"/>
      <c r="F8" s="37"/>
      <c r="G8" s="18" t="s">
        <v>119</v>
      </c>
      <c r="H8" s="44" t="s">
        <v>119</v>
      </c>
      <c r="I8" s="44" t="s">
        <v>119</v>
      </c>
      <c r="J8" s="44" t="s">
        <v>119</v>
      </c>
    </row>
    <row r="9" spans="1:7" ht="15">
      <c r="A9" s="28" t="s">
        <v>178</v>
      </c>
      <c r="B9" s="80"/>
      <c r="C9" s="140"/>
      <c r="D9" s="177"/>
      <c r="E9" s="168"/>
      <c r="F9" s="37"/>
      <c r="G9" s="18"/>
    </row>
    <row r="10" spans="1:10" ht="15">
      <c r="A10" s="141" t="s">
        <v>180</v>
      </c>
      <c r="B10" s="587" t="e">
        <f>D10/'2. Units &amp; Income'!B24</f>
        <v>#DIV/0!</v>
      </c>
      <c r="C10" s="18" t="s">
        <v>48</v>
      </c>
      <c r="D10" s="475"/>
      <c r="E10" s="588" t="e">
        <f>D10/'2. Units &amp; Income'!B7</f>
        <v>#DIV/0!</v>
      </c>
      <c r="F10" s="37" t="s">
        <v>115</v>
      </c>
      <c r="G10" s="18" t="s">
        <v>119</v>
      </c>
      <c r="H10" s="44" t="s">
        <v>120</v>
      </c>
      <c r="I10" s="44" t="s">
        <v>119</v>
      </c>
      <c r="J10" s="44" t="s">
        <v>119</v>
      </c>
    </row>
    <row r="11" spans="1:10" ht="15">
      <c r="A11" s="448" t="s">
        <v>246</v>
      </c>
      <c r="B11" s="81"/>
      <c r="C11" s="18"/>
      <c r="D11" s="475"/>
      <c r="E11" s="552" t="e">
        <f>D11/'2. Units &amp; Income'!B8</f>
        <v>#DIV/0!</v>
      </c>
      <c r="F11" s="37" t="s">
        <v>115</v>
      </c>
      <c r="G11" s="18" t="s">
        <v>119</v>
      </c>
      <c r="H11" s="44" t="s">
        <v>119</v>
      </c>
      <c r="I11" s="44" t="s">
        <v>119</v>
      </c>
      <c r="J11" s="44" t="s">
        <v>119</v>
      </c>
    </row>
    <row r="12" spans="1:7" ht="15">
      <c r="A12" s="141" t="s">
        <v>179</v>
      </c>
      <c r="B12" s="81"/>
      <c r="C12" s="18"/>
      <c r="D12" s="475"/>
      <c r="E12" s="552" t="e">
        <f>D12/'2. Units &amp; Income'!B9</f>
        <v>#DIV/0!</v>
      </c>
      <c r="F12" s="37" t="s">
        <v>115</v>
      </c>
      <c r="G12" s="18"/>
    </row>
    <row r="13" spans="1:10" ht="15">
      <c r="A13" s="141" t="s">
        <v>114</v>
      </c>
      <c r="B13" s="36"/>
      <c r="C13" s="65"/>
      <c r="D13" s="475"/>
      <c r="E13" s="552" t="e">
        <f>D13/'2. Units &amp; Income'!B10</f>
        <v>#DIV/0!</v>
      </c>
      <c r="F13" s="37" t="s">
        <v>115</v>
      </c>
      <c r="G13" s="18" t="s">
        <v>119</v>
      </c>
      <c r="H13" s="44" t="s">
        <v>119</v>
      </c>
      <c r="I13" s="44" t="s">
        <v>119</v>
      </c>
      <c r="J13" s="44" t="s">
        <v>119</v>
      </c>
    </row>
    <row r="14" spans="1:10" ht="17.25">
      <c r="A14" s="36" t="s">
        <v>72</v>
      </c>
      <c r="B14" s="535"/>
      <c r="C14" s="706"/>
      <c r="D14" s="721">
        <f>B14*($D$10+$D$11+$D$12+$D$13)</f>
        <v>0</v>
      </c>
      <c r="E14" s="714"/>
      <c r="F14" s="37"/>
      <c r="G14" s="18" t="s">
        <v>119</v>
      </c>
      <c r="H14" s="44" t="s">
        <v>119</v>
      </c>
      <c r="I14" s="44" t="s">
        <v>119</v>
      </c>
      <c r="J14" s="44" t="s">
        <v>119</v>
      </c>
    </row>
    <row r="15" spans="1:7" ht="15.75">
      <c r="A15" s="399" t="s">
        <v>182</v>
      </c>
      <c r="B15" s="589" t="e">
        <f>D15/'2. Units &amp; Income'!B24</f>
        <v>#DIV/0!</v>
      </c>
      <c r="C15" s="18" t="s">
        <v>48</v>
      </c>
      <c r="D15" s="178">
        <f>SUM(D10:D14)</f>
        <v>0</v>
      </c>
      <c r="E15" s="710" t="e">
        <f>D15/'2. Units &amp; Income'!B11</f>
        <v>#DIV/0!</v>
      </c>
      <c r="F15" s="14" t="s">
        <v>110</v>
      </c>
      <c r="G15" s="18"/>
    </row>
    <row r="16" spans="1:7" ht="15">
      <c r="A16" s="28"/>
      <c r="B16" s="36"/>
      <c r="C16" s="65"/>
      <c r="D16" s="177"/>
      <c r="E16" s="710" t="e">
        <f>D15/F2</f>
        <v>#DIV/0!</v>
      </c>
      <c r="F16" s="37" t="s">
        <v>500</v>
      </c>
      <c r="G16" s="18"/>
    </row>
    <row r="17" spans="1:7" ht="15">
      <c r="A17" s="28"/>
      <c r="B17" s="36"/>
      <c r="C17" s="65"/>
      <c r="D17" s="177"/>
      <c r="E17" s="65"/>
      <c r="F17" s="37"/>
      <c r="G17" s="18"/>
    </row>
    <row r="18" spans="1:16" ht="15">
      <c r="A18" s="396" t="s">
        <v>185</v>
      </c>
      <c r="B18" s="80"/>
      <c r="C18" s="140"/>
      <c r="D18" s="177"/>
      <c r="E18" s="65"/>
      <c r="F18" s="37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">
      <c r="A19" s="147"/>
      <c r="B19" s="80"/>
      <c r="C19" s="140"/>
      <c r="D19" s="177"/>
      <c r="E19" s="65"/>
      <c r="F19" s="37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>
      <c r="A20" s="28" t="s">
        <v>49</v>
      </c>
      <c r="B20" s="36"/>
      <c r="C20" s="65"/>
      <c r="D20" s="475"/>
      <c r="E20" s="715"/>
      <c r="F20" s="37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28" t="s">
        <v>51</v>
      </c>
      <c r="B21" s="36"/>
      <c r="C21" s="707"/>
      <c r="D21" s="475"/>
      <c r="E21" s="710"/>
      <c r="F21" s="37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5">
      <c r="A22" s="28" t="s">
        <v>243</v>
      </c>
      <c r="B22" s="36"/>
      <c r="C22" s="65"/>
      <c r="D22" s="475"/>
      <c r="E22" s="716"/>
      <c r="F22" s="37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28" t="s">
        <v>74</v>
      </c>
      <c r="B23" s="36"/>
      <c r="C23" s="65"/>
      <c r="D23" s="475"/>
      <c r="E23" s="716"/>
      <c r="F23" s="37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28" t="s">
        <v>55</v>
      </c>
      <c r="B24" s="36"/>
      <c r="C24" s="65"/>
      <c r="D24" s="475"/>
      <c r="E24" s="716"/>
      <c r="F24" s="37"/>
      <c r="G24" s="18"/>
      <c r="H24" s="18"/>
      <c r="I24" s="18"/>
      <c r="J24" s="18"/>
      <c r="K24" s="18"/>
      <c r="L24" s="18"/>
      <c r="M24" s="21"/>
      <c r="N24" s="21"/>
      <c r="O24" s="21"/>
      <c r="P24" s="17"/>
    </row>
    <row r="25" spans="1:16" ht="15">
      <c r="A25" s="28" t="s">
        <v>187</v>
      </c>
      <c r="B25" s="87"/>
      <c r="C25" s="65"/>
      <c r="D25" s="475"/>
      <c r="E25" s="709"/>
      <c r="F25" s="37"/>
      <c r="G25" s="18"/>
      <c r="H25" s="18"/>
      <c r="I25" s="18"/>
      <c r="J25" s="18"/>
      <c r="K25" s="18"/>
      <c r="L25" s="18"/>
      <c r="M25" s="18"/>
      <c r="N25" s="22"/>
      <c r="O25" s="21"/>
      <c r="P25" s="17"/>
    </row>
    <row r="26" spans="1:16" ht="15">
      <c r="A26" s="28" t="s">
        <v>192</v>
      </c>
      <c r="C26" s="65"/>
      <c r="D26" s="475"/>
      <c r="E26" s="716"/>
      <c r="F26" s="37"/>
      <c r="G26" s="18"/>
      <c r="H26" s="18"/>
      <c r="I26" s="18"/>
      <c r="J26" s="18"/>
      <c r="K26" s="18"/>
      <c r="L26" s="18"/>
      <c r="M26" s="18"/>
      <c r="N26" s="17"/>
      <c r="O26" s="17"/>
      <c r="P26" s="18"/>
    </row>
    <row r="27" spans="1:16" ht="15">
      <c r="A27" s="28" t="s">
        <v>360</v>
      </c>
      <c r="C27" s="65"/>
      <c r="D27" s="475"/>
      <c r="E27" s="709" t="s">
        <v>359</v>
      </c>
      <c r="F27" s="37"/>
      <c r="G27" s="18"/>
      <c r="H27" s="18"/>
      <c r="I27" s="18"/>
      <c r="J27" s="18"/>
      <c r="K27" s="18"/>
      <c r="L27" s="18"/>
      <c r="M27" s="18"/>
      <c r="N27" s="17"/>
      <c r="O27" s="17"/>
      <c r="P27" s="18"/>
    </row>
    <row r="28" spans="1:16" ht="15">
      <c r="A28" s="28" t="s">
        <v>118</v>
      </c>
      <c r="B28" s="36"/>
      <c r="C28" s="65"/>
      <c r="D28" s="475"/>
      <c r="E28" s="709"/>
      <c r="F28" s="37"/>
      <c r="G28" s="18"/>
      <c r="H28" s="18"/>
      <c r="I28" s="18"/>
      <c r="J28" s="18"/>
      <c r="K28" s="18"/>
      <c r="L28" s="18"/>
      <c r="M28" s="21"/>
      <c r="N28" s="21"/>
      <c r="O28" s="21"/>
      <c r="P28" s="17"/>
    </row>
    <row r="29" spans="1:16" ht="15">
      <c r="A29" s="28" t="s">
        <v>56</v>
      </c>
      <c r="B29" s="36"/>
      <c r="C29" s="65"/>
      <c r="D29" s="475"/>
      <c r="E29" s="709"/>
      <c r="F29" s="37"/>
      <c r="G29" s="18"/>
      <c r="H29" s="18"/>
      <c r="I29" s="18"/>
      <c r="J29" s="18"/>
      <c r="K29" s="18"/>
      <c r="L29" s="18"/>
      <c r="M29" s="18"/>
      <c r="N29" s="18"/>
      <c r="O29" s="18"/>
      <c r="P29" s="17"/>
    </row>
    <row r="30" spans="1:16" ht="15">
      <c r="A30" s="28" t="s">
        <v>194</v>
      </c>
      <c r="B30" s="36"/>
      <c r="C30" s="65"/>
      <c r="D30" s="475"/>
      <c r="E30" s="709"/>
      <c r="F30" s="37"/>
      <c r="G30" s="18"/>
      <c r="H30" s="18"/>
      <c r="I30" s="18"/>
      <c r="J30" s="18"/>
      <c r="K30" s="18"/>
      <c r="L30" s="18"/>
      <c r="M30" s="18"/>
      <c r="N30" s="18"/>
      <c r="O30" s="18"/>
      <c r="P30" s="17"/>
    </row>
    <row r="31" spans="1:16" ht="15">
      <c r="A31" s="28" t="s">
        <v>73</v>
      </c>
      <c r="B31" s="82"/>
      <c r="C31" s="65"/>
      <c r="D31" s="475"/>
      <c r="E31" s="709" t="s">
        <v>378</v>
      </c>
      <c r="F31" s="37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5">
      <c r="A32" s="28" t="s">
        <v>181</v>
      </c>
      <c r="B32" s="82"/>
      <c r="C32" s="65"/>
      <c r="D32" s="475"/>
      <c r="E32" s="709"/>
      <c r="F32" s="37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8" thickBot="1">
      <c r="A33" s="228" t="s">
        <v>330</v>
      </c>
      <c r="B33" s="80"/>
      <c r="C33" s="65"/>
      <c r="D33" s="474"/>
      <c r="E33" s="709"/>
      <c r="F33" s="37"/>
      <c r="G33" s="18"/>
      <c r="H33" s="18"/>
      <c r="I33" s="18"/>
      <c r="J33" s="18"/>
      <c r="K33" s="18"/>
      <c r="L33" s="18"/>
      <c r="M33" s="85"/>
      <c r="N33" s="70"/>
      <c r="O33" s="22"/>
      <c r="P33" s="86"/>
    </row>
    <row r="34" spans="1:16" ht="15.75">
      <c r="A34" s="399" t="s">
        <v>52</v>
      </c>
      <c r="B34" s="146"/>
      <c r="C34" s="708"/>
      <c r="D34" s="518">
        <f>SUM(D20:D33)</f>
        <v>0</v>
      </c>
      <c r="E34" s="709"/>
      <c r="F34" s="37"/>
      <c r="G34" s="18"/>
      <c r="H34" s="18"/>
      <c r="I34" s="18"/>
      <c r="J34" s="18"/>
      <c r="K34" s="18"/>
      <c r="L34" s="18"/>
      <c r="M34" s="21"/>
      <c r="N34" s="18"/>
      <c r="O34" s="18"/>
      <c r="P34" s="17"/>
    </row>
    <row r="35" spans="1:16" ht="15">
      <c r="A35" s="28"/>
      <c r="B35" s="40"/>
      <c r="D35" s="177"/>
      <c r="E35" s="709"/>
      <c r="F35" s="37"/>
      <c r="G35" s="18"/>
      <c r="H35" s="18"/>
      <c r="I35" s="18"/>
      <c r="J35" s="18"/>
      <c r="K35" s="18"/>
      <c r="L35" s="18"/>
      <c r="M35" s="18"/>
      <c r="N35" s="18"/>
      <c r="O35" s="18"/>
      <c r="P35" s="17"/>
    </row>
    <row r="36" spans="1:16" ht="15">
      <c r="A36" s="397" t="s">
        <v>326</v>
      </c>
      <c r="B36" s="40"/>
      <c r="D36" s="177"/>
      <c r="E36" s="709"/>
      <c r="F36" s="37"/>
      <c r="G36" s="18"/>
      <c r="H36" s="18"/>
      <c r="I36" s="18"/>
      <c r="J36" s="18"/>
      <c r="K36" s="18"/>
      <c r="L36" s="18"/>
      <c r="M36" s="18"/>
      <c r="N36" s="18"/>
      <c r="O36" s="18"/>
      <c r="P36" s="17"/>
    </row>
    <row r="37" spans="1:16" ht="15">
      <c r="A37" s="28" t="s">
        <v>77</v>
      </c>
      <c r="B37" s="519"/>
      <c r="C37" s="709" t="s">
        <v>339</v>
      </c>
      <c r="D37" s="179">
        <f>'2. Devel. Bud'!B37*'2. Cons Int &amp; Neg Arb'!C75</f>
        <v>0</v>
      </c>
      <c r="E37" s="709" t="s">
        <v>325</v>
      </c>
      <c r="F37" s="38"/>
      <c r="G37" s="18"/>
      <c r="H37" s="18"/>
      <c r="I37" s="523"/>
      <c r="J37" s="18"/>
      <c r="K37" s="18"/>
      <c r="L37" s="18"/>
      <c r="M37" s="18"/>
      <c r="N37" s="18"/>
      <c r="O37" s="67"/>
      <c r="P37" s="69"/>
    </row>
    <row r="38" spans="1:16" ht="15">
      <c r="A38" s="28" t="s">
        <v>78</v>
      </c>
      <c r="B38" s="519"/>
      <c r="C38" s="709" t="s">
        <v>340</v>
      </c>
      <c r="D38" s="179">
        <f>B38*'2. Cons Int &amp; Neg Arb'!C75*'2. Cons Int &amp; Neg Arb'!C16</f>
        <v>0</v>
      </c>
      <c r="E38" s="709" t="s">
        <v>325</v>
      </c>
      <c r="F38" s="39"/>
      <c r="G38" s="18"/>
      <c r="H38" s="18"/>
      <c r="I38" s="18"/>
      <c r="J38" s="18"/>
      <c r="K38" s="18"/>
      <c r="L38" s="18"/>
      <c r="M38" s="68"/>
      <c r="N38" s="70"/>
      <c r="O38" s="22"/>
      <c r="P38" s="17"/>
    </row>
    <row r="39" spans="1:16" ht="15">
      <c r="A39" s="28" t="s">
        <v>327</v>
      </c>
      <c r="B39" s="525">
        <v>0.0075</v>
      </c>
      <c r="C39" s="709" t="s">
        <v>341</v>
      </c>
      <c r="D39" s="179">
        <f>B39*D85</f>
        <v>0</v>
      </c>
      <c r="E39" s="709"/>
      <c r="F39" s="39"/>
      <c r="G39" s="18"/>
      <c r="H39" s="18"/>
      <c r="I39" s="18"/>
      <c r="J39" s="18"/>
      <c r="K39" s="18"/>
      <c r="L39" s="18"/>
      <c r="M39" s="21"/>
      <c r="N39" s="21"/>
      <c r="O39" s="21"/>
      <c r="P39" s="17"/>
    </row>
    <row r="40" spans="1:16" ht="15">
      <c r="A40" s="28" t="s">
        <v>475</v>
      </c>
      <c r="B40" s="525"/>
      <c r="C40" s="709"/>
      <c r="D40" s="475"/>
      <c r="E40" s="709"/>
      <c r="F40" s="37"/>
      <c r="G40" s="18"/>
      <c r="H40" s="18"/>
      <c r="I40" s="18"/>
      <c r="J40" s="18"/>
      <c r="K40" s="18"/>
      <c r="L40" s="18"/>
      <c r="M40" s="18"/>
      <c r="N40" s="22"/>
      <c r="O40" s="21"/>
      <c r="P40" s="17"/>
    </row>
    <row r="41" spans="1:16" ht="15">
      <c r="A41" s="28" t="s">
        <v>367</v>
      </c>
      <c r="B41" s="525">
        <v>0.015</v>
      </c>
      <c r="C41" s="709" t="s">
        <v>341</v>
      </c>
      <c r="D41" s="179"/>
      <c r="E41" s="709"/>
      <c r="F41" s="37"/>
      <c r="G41" s="18"/>
      <c r="H41" s="18"/>
      <c r="I41" s="18"/>
      <c r="J41" s="18"/>
      <c r="K41" s="18"/>
      <c r="L41" s="18"/>
      <c r="M41" s="18"/>
      <c r="N41" s="22"/>
      <c r="O41" s="21"/>
      <c r="P41" s="17"/>
    </row>
    <row r="42" spans="1:16" ht="15">
      <c r="A42" s="28" t="s">
        <v>476</v>
      </c>
      <c r="B42" s="525"/>
      <c r="C42" s="709"/>
      <c r="D42" s="475"/>
      <c r="E42" s="709"/>
      <c r="F42" s="37"/>
      <c r="G42" s="18"/>
      <c r="H42" s="18"/>
      <c r="I42" s="18"/>
      <c r="J42" s="18"/>
      <c r="K42" s="18"/>
      <c r="L42" s="18"/>
      <c r="M42" s="18"/>
      <c r="N42" s="22"/>
      <c r="O42" s="21"/>
      <c r="P42" s="17"/>
    </row>
    <row r="43" spans="1:16" ht="15">
      <c r="A43" s="28" t="s">
        <v>123</v>
      </c>
      <c r="B43" s="525"/>
      <c r="C43" s="65"/>
      <c r="D43" s="475"/>
      <c r="E43" s="709" t="s">
        <v>361</v>
      </c>
      <c r="F43" s="37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">
      <c r="A44" s="704" t="s">
        <v>477</v>
      </c>
      <c r="B44" s="519"/>
      <c r="C44" s="705" t="s">
        <v>481</v>
      </c>
      <c r="D44" s="1301" t="e">
        <f>B44*D95</f>
        <v>#DIV/0!</v>
      </c>
      <c r="E44" s="709"/>
      <c r="F44" s="37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">
      <c r="A45" s="704" t="s">
        <v>478</v>
      </c>
      <c r="B45" s="519"/>
      <c r="C45" s="705" t="s">
        <v>481</v>
      </c>
      <c r="D45" s="1301" t="e">
        <f>B45*D95</f>
        <v>#DIV/0!</v>
      </c>
      <c r="E45" s="709"/>
      <c r="F45" s="37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">
      <c r="A46" s="704" t="s">
        <v>479</v>
      </c>
      <c r="B46" s="519"/>
      <c r="C46" s="705" t="s">
        <v>481</v>
      </c>
      <c r="D46" s="1301" t="e">
        <f>B46*D95</f>
        <v>#DIV/0!</v>
      </c>
      <c r="E46" s="709"/>
      <c r="F46" s="37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">
      <c r="A47" s="704" t="s">
        <v>480</v>
      </c>
      <c r="B47" s="519"/>
      <c r="C47" s="705" t="s">
        <v>481</v>
      </c>
      <c r="D47" s="1301" t="e">
        <f>B47*D95</f>
        <v>#DIV/0!</v>
      </c>
      <c r="E47" s="709"/>
      <c r="F47" s="37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49" customFormat="1" ht="15">
      <c r="A48" s="228" t="s">
        <v>362</v>
      </c>
      <c r="B48" s="525"/>
      <c r="C48" s="168"/>
      <c r="D48" s="722"/>
      <c r="E48" s="709" t="s">
        <v>363</v>
      </c>
      <c r="F48" s="170"/>
      <c r="G48" s="171"/>
      <c r="H48" s="171"/>
      <c r="I48" s="171"/>
      <c r="J48" s="168"/>
      <c r="K48" s="171"/>
      <c r="L48" s="171"/>
      <c r="M48" s="171"/>
      <c r="N48" s="171"/>
      <c r="O48" s="171"/>
      <c r="P48" s="171"/>
    </row>
    <row r="49" spans="1:16" s="149" customFormat="1" ht="14.25" customHeight="1">
      <c r="A49" s="228" t="s">
        <v>237</v>
      </c>
      <c r="B49" s="525"/>
      <c r="C49" s="168"/>
      <c r="D49" s="722"/>
      <c r="E49" s="709" t="s">
        <v>364</v>
      </c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s="149" customFormat="1" ht="17.25">
      <c r="A50" s="228" t="s">
        <v>365</v>
      </c>
      <c r="B50" s="525"/>
      <c r="C50" s="168"/>
      <c r="D50" s="723"/>
      <c r="E50" s="709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  <row r="51" spans="1:16" ht="18" thickBot="1">
      <c r="A51" s="228" t="s">
        <v>330</v>
      </c>
      <c r="B51" s="80"/>
      <c r="C51" s="65"/>
      <c r="D51" s="474"/>
      <c r="E51" s="709"/>
      <c r="F51" s="37"/>
      <c r="G51" s="18"/>
      <c r="H51" s="18"/>
      <c r="I51" s="18"/>
      <c r="J51" s="18"/>
      <c r="K51" s="18"/>
      <c r="L51" s="18"/>
      <c r="M51" s="85"/>
      <c r="N51" s="70"/>
      <c r="O51" s="22"/>
      <c r="P51" s="86"/>
    </row>
    <row r="52" spans="1:16" ht="15.75">
      <c r="A52" s="399" t="s">
        <v>52</v>
      </c>
      <c r="B52" s="146"/>
      <c r="C52" s="708"/>
      <c r="D52" s="178" t="e">
        <f>SUM(D37:D51)</f>
        <v>#DIV/0!</v>
      </c>
      <c r="E52" s="709"/>
      <c r="F52" s="37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5">
      <c r="A53" s="229"/>
      <c r="B53" s="151"/>
      <c r="C53" s="65"/>
      <c r="D53" s="177"/>
      <c r="E53" s="709"/>
      <c r="F53" s="37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5">
      <c r="A54" s="397" t="s">
        <v>324</v>
      </c>
      <c r="B54" s="36"/>
      <c r="C54" s="65"/>
      <c r="D54" s="724"/>
      <c r="E54" s="709"/>
      <c r="F54" s="37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">
      <c r="A55" s="28" t="s">
        <v>57</v>
      </c>
      <c r="B55" s="36"/>
      <c r="C55" s="706"/>
      <c r="D55" s="725" t="e">
        <f>'2. Cons Int &amp; Neg Arb'!F42</f>
        <v>#DIV/0!</v>
      </c>
      <c r="E55" s="709" t="s">
        <v>325</v>
      </c>
      <c r="F55" s="37"/>
      <c r="G55" s="18"/>
      <c r="H55" s="18"/>
      <c r="I55" s="18"/>
      <c r="J55" s="18"/>
      <c r="K55" s="18"/>
      <c r="L55" s="18"/>
      <c r="M55" s="85"/>
      <c r="N55" s="18"/>
      <c r="O55" s="18"/>
      <c r="P55" s="18"/>
    </row>
    <row r="56" spans="1:16" ht="15">
      <c r="A56" s="28" t="s">
        <v>53</v>
      </c>
      <c r="B56" s="36"/>
      <c r="C56" s="65"/>
      <c r="D56" s="726" t="e">
        <f>'2. Cons Int &amp; Neg Arb'!B67</f>
        <v>#DIV/0!</v>
      </c>
      <c r="E56" s="709" t="s">
        <v>366</v>
      </c>
      <c r="F56" s="83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">
      <c r="A57" s="28" t="s">
        <v>358</v>
      </c>
      <c r="B57" s="82"/>
      <c r="C57" s="65"/>
      <c r="D57" s="727"/>
      <c r="E57" s="709" t="s">
        <v>368</v>
      </c>
      <c r="F57" s="37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5">
      <c r="A58" s="28" t="s">
        <v>196</v>
      </c>
      <c r="B58" s="36"/>
      <c r="C58" s="65"/>
      <c r="D58" s="722"/>
      <c r="E58" s="709"/>
      <c r="F58" s="37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5">
      <c r="A59" s="28" t="s">
        <v>59</v>
      </c>
      <c r="B59" s="36"/>
      <c r="C59" s="65"/>
      <c r="D59" s="722"/>
      <c r="E59" s="709"/>
      <c r="F59" s="37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">
      <c r="A60" s="28" t="s">
        <v>58</v>
      </c>
      <c r="B60" s="184"/>
      <c r="C60" s="65"/>
      <c r="D60" s="475"/>
      <c r="E60" s="709"/>
      <c r="F60" s="37"/>
      <c r="G60" s="18"/>
      <c r="H60" s="18"/>
      <c r="I60" s="18"/>
      <c r="J60" s="18"/>
      <c r="K60" s="18"/>
      <c r="L60" s="18"/>
      <c r="M60" s="18"/>
      <c r="N60" s="18"/>
      <c r="O60" s="18"/>
      <c r="P60" s="17"/>
    </row>
    <row r="61" spans="1:16" ht="15">
      <c r="A61" s="28" t="s">
        <v>186</v>
      </c>
      <c r="B61" s="65"/>
      <c r="C61" s="65"/>
      <c r="D61" s="722"/>
      <c r="E61" s="709"/>
      <c r="F61" s="37"/>
      <c r="G61" s="18"/>
      <c r="H61" s="18"/>
      <c r="I61" s="18"/>
      <c r="J61" s="18"/>
      <c r="K61" s="18"/>
      <c r="L61" s="18"/>
      <c r="M61" s="18"/>
      <c r="N61" s="18"/>
      <c r="O61" s="18"/>
      <c r="P61" s="17"/>
    </row>
    <row r="62" spans="1:16" ht="15">
      <c r="A62" s="28" t="s">
        <v>60</v>
      </c>
      <c r="B62" s="207"/>
      <c r="C62" s="710"/>
      <c r="D62" s="475"/>
      <c r="E62" s="709"/>
      <c r="F62" s="37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6" ht="15.75">
      <c r="A63" s="28" t="s">
        <v>83</v>
      </c>
      <c r="B63" s="137"/>
      <c r="C63" s="137"/>
      <c r="D63" s="728"/>
      <c r="E63" s="709"/>
      <c r="F63" s="150"/>
    </row>
    <row r="64" spans="1:16" ht="18" thickBot="1">
      <c r="A64" s="228" t="s">
        <v>330</v>
      </c>
      <c r="B64" s="80"/>
      <c r="C64" s="65"/>
      <c r="D64" s="474"/>
      <c r="E64" s="709"/>
      <c r="F64" s="37"/>
      <c r="G64" s="18"/>
      <c r="H64" s="18"/>
      <c r="I64" s="18"/>
      <c r="J64" s="18"/>
      <c r="K64" s="18"/>
      <c r="L64" s="18"/>
      <c r="M64" s="85"/>
      <c r="N64" s="70"/>
      <c r="O64" s="22"/>
      <c r="P64" s="86"/>
    </row>
    <row r="65" spans="1:6" ht="15.75">
      <c r="A65" s="399" t="s">
        <v>52</v>
      </c>
      <c r="B65" s="137"/>
      <c r="C65" s="137"/>
      <c r="D65" s="467" t="e">
        <f>SUM(D55:D64)</f>
        <v>#DIV/0!</v>
      </c>
      <c r="E65" s="709"/>
      <c r="F65" s="150"/>
    </row>
    <row r="66" spans="1:16" ht="15">
      <c r="A66" s="28"/>
      <c r="B66" s="36"/>
      <c r="C66" s="65"/>
      <c r="D66" s="179"/>
      <c r="E66" s="709"/>
      <c r="F66" s="37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">
      <c r="A67" s="397" t="s">
        <v>218</v>
      </c>
      <c r="B67" s="36"/>
      <c r="C67" s="65"/>
      <c r="D67" s="179"/>
      <c r="E67" s="709"/>
      <c r="F67" s="37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">
      <c r="A68" s="28" t="s">
        <v>242</v>
      </c>
      <c r="B68" s="36"/>
      <c r="C68" s="65"/>
      <c r="D68" s="475"/>
      <c r="E68" s="709" t="s">
        <v>369</v>
      </c>
      <c r="F68" s="37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5">
      <c r="A69" s="28" t="s">
        <v>193</v>
      </c>
      <c r="B69" s="1302"/>
      <c r="C69" s="711" t="s">
        <v>105</v>
      </c>
      <c r="D69" s="179">
        <f>B69*F2</f>
        <v>0</v>
      </c>
      <c r="E69" s="709" t="s">
        <v>370</v>
      </c>
      <c r="F69" s="37"/>
      <c r="G69" s="171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">
      <c r="A70" s="28" t="s">
        <v>244</v>
      </c>
      <c r="B70" s="36"/>
      <c r="C70" s="711"/>
      <c r="D70" s="475"/>
      <c r="E70" s="709"/>
      <c r="F70" s="37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5">
      <c r="A71" s="28" t="s">
        <v>82</v>
      </c>
      <c r="B71" s="36" t="s">
        <v>195</v>
      </c>
      <c r="C71" s="65"/>
      <c r="D71" s="539"/>
      <c r="E71" s="1303" t="e">
        <f>D71/D74</f>
        <v>#DIV/0!</v>
      </c>
      <c r="F71" s="37" t="s">
        <v>113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5.75">
      <c r="A72" s="148" t="s">
        <v>52</v>
      </c>
      <c r="B72" s="36"/>
      <c r="C72" s="65"/>
      <c r="D72" s="178">
        <f>SUM(D68:D71)</f>
        <v>0</v>
      </c>
      <c r="E72" s="718"/>
      <c r="F72" s="37"/>
      <c r="G72" s="21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5">
      <c r="A73" s="28"/>
      <c r="B73" s="36"/>
      <c r="C73" s="65"/>
      <c r="D73" s="177"/>
      <c r="E73" s="718"/>
      <c r="F73" s="37"/>
      <c r="G73" s="21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5.75">
      <c r="A74" s="397" t="s">
        <v>112</v>
      </c>
      <c r="B74" s="36"/>
      <c r="C74" s="65"/>
      <c r="D74" s="518" t="e">
        <f>D34+D52+D65+D72</f>
        <v>#DIV/0!</v>
      </c>
      <c r="E74" s="718"/>
      <c r="F74" s="37"/>
      <c r="G74" s="21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">
      <c r="A75" s="28"/>
      <c r="B75" s="36"/>
      <c r="C75" s="65"/>
      <c r="D75" s="177"/>
      <c r="E75" s="719"/>
      <c r="F75" s="27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7" ht="15.75">
      <c r="A76" s="397" t="s">
        <v>61</v>
      </c>
      <c r="B76" s="143"/>
      <c r="C76" s="74"/>
      <c r="D76" s="476"/>
      <c r="E76" s="100" t="e">
        <f>D76/(D79-D76)</f>
        <v>#DIV/0!</v>
      </c>
      <c r="F76" s="560" t="s">
        <v>338</v>
      </c>
      <c r="G76" s="18"/>
    </row>
    <row r="77" spans="1:6" ht="15">
      <c r="A77" s="28"/>
      <c r="B77" s="36"/>
      <c r="C77" s="65"/>
      <c r="D77" s="177"/>
      <c r="E77" s="65"/>
      <c r="F77" s="37"/>
    </row>
    <row r="78" spans="1:10" ht="15">
      <c r="A78" s="28"/>
      <c r="B78" s="36"/>
      <c r="C78" s="65"/>
      <c r="D78" s="175"/>
      <c r="E78" s="65"/>
      <c r="F78" s="37"/>
      <c r="J78" s="206"/>
    </row>
    <row r="79" spans="1:6" ht="15.75">
      <c r="A79" s="400" t="s">
        <v>62</v>
      </c>
      <c r="B79" s="66"/>
      <c r="C79" s="712"/>
      <c r="D79" s="401" t="e">
        <f>D6+D15+D74+D76</f>
        <v>#DIV/0!</v>
      </c>
      <c r="E79" s="720"/>
      <c r="F79" s="88"/>
    </row>
    <row r="80" spans="1:6" ht="15">
      <c r="A80" s="729"/>
      <c r="B80" s="65"/>
      <c r="C80" s="65"/>
      <c r="D80" s="737" t="e">
        <f>D79/F2</f>
        <v>#DIV/0!</v>
      </c>
      <c r="E80" s="738" t="s">
        <v>482</v>
      </c>
      <c r="F80" s="597"/>
    </row>
    <row r="81" spans="1:6" ht="15">
      <c r="A81" s="729"/>
      <c r="B81" s="65"/>
      <c r="C81" s="65"/>
      <c r="D81" s="734" t="e">
        <f>D79/F3</f>
        <v>#DIV/0!</v>
      </c>
      <c r="E81" s="735" t="s">
        <v>16</v>
      </c>
      <c r="F81" s="597"/>
    </row>
    <row r="82" spans="1:6" ht="15">
      <c r="A82" s="729"/>
      <c r="B82" s="65"/>
      <c r="C82" s="65"/>
      <c r="D82" s="1304" t="e">
        <f>D79/'2. Units &amp; Income'!B7</f>
        <v>#DIV/0!</v>
      </c>
      <c r="E82" s="736" t="s">
        <v>483</v>
      </c>
      <c r="F82" s="597"/>
    </row>
    <row r="83" spans="1:6" ht="15">
      <c r="A83" s="18"/>
      <c r="B83" s="18"/>
      <c r="C83" s="18"/>
      <c r="D83" s="182"/>
      <c r="F83" s="21"/>
    </row>
    <row r="84" spans="1:7" ht="15.75">
      <c r="A84" s="1" t="s">
        <v>81</v>
      </c>
      <c r="B84" s="18"/>
      <c r="C84" s="208"/>
      <c r="D84" s="181"/>
      <c r="E84" s="89"/>
      <c r="F84" s="51"/>
      <c r="G84" s="18"/>
    </row>
    <row r="85" spans="1:5" ht="15">
      <c r="A85" s="67" t="str">
        <f aca="true" t="shared" si="0" ref="A85:A91">A95</f>
        <v>HDC Bond First Mortgage </v>
      </c>
      <c r="B85" s="18"/>
      <c r="C85" s="208"/>
      <c r="D85" s="465"/>
      <c r="E85" s="22" t="e">
        <f aca="true" t="shared" si="1" ref="E85:E91">D85/$D$79</f>
        <v>#DIV/0!</v>
      </c>
    </row>
    <row r="86" spans="1:6" ht="15">
      <c r="A86" s="67" t="str">
        <f t="shared" si="0"/>
        <v>HDC Second Mortgage</v>
      </c>
      <c r="B86" s="18"/>
      <c r="C86" s="208"/>
      <c r="D86" s="561"/>
      <c r="E86" s="22" t="e">
        <f t="shared" si="1"/>
        <v>#DIV/0!</v>
      </c>
      <c r="F86" s="21"/>
    </row>
    <row r="87" spans="1:8" ht="15">
      <c r="A87" s="67" t="str">
        <f t="shared" si="0"/>
        <v>HPD Subsidy Third Mortgage</v>
      </c>
      <c r="C87" s="206"/>
      <c r="D87" s="562"/>
      <c r="E87" s="22" t="e">
        <f t="shared" si="1"/>
        <v>#DIV/0!</v>
      </c>
      <c r="H87" s="206"/>
    </row>
    <row r="88" spans="1:8" ht="15">
      <c r="A88" s="67" t="str">
        <f t="shared" si="0"/>
        <v>Fourth Mortgage (Lender:                                )</v>
      </c>
      <c r="C88" s="206"/>
      <c r="D88" s="562"/>
      <c r="E88" s="22" t="e">
        <f t="shared" si="1"/>
        <v>#DIV/0!</v>
      </c>
      <c r="H88" s="206"/>
    </row>
    <row r="89" spans="1:8" ht="15">
      <c r="A89" s="67" t="str">
        <f t="shared" si="0"/>
        <v>Developer Equity</v>
      </c>
      <c r="C89" s="206"/>
      <c r="D89" s="465"/>
      <c r="E89" s="22" t="e">
        <f t="shared" si="1"/>
        <v>#DIV/0!</v>
      </c>
      <c r="G89" s="18"/>
      <c r="H89" s="206"/>
    </row>
    <row r="90" spans="1:8" ht="15">
      <c r="A90" s="67" t="str">
        <f t="shared" si="0"/>
        <v>Deferred Developer's Fee</v>
      </c>
      <c r="C90" s="206"/>
      <c r="D90" s="465"/>
      <c r="E90" s="22" t="e">
        <f t="shared" si="1"/>
        <v>#DIV/0!</v>
      </c>
      <c r="G90" s="18"/>
      <c r="H90" s="206"/>
    </row>
    <row r="91" spans="1:8" ht="15">
      <c r="A91" s="67" t="str">
        <f t="shared" si="0"/>
        <v>Other source (Specify:                                )</v>
      </c>
      <c r="C91" s="206"/>
      <c r="D91" s="466"/>
      <c r="E91" s="22" t="e">
        <f t="shared" si="1"/>
        <v>#DIV/0!</v>
      </c>
      <c r="G91" s="18"/>
      <c r="H91" s="206"/>
    </row>
    <row r="92" spans="1:8" ht="15.75">
      <c r="A92" s="1305" t="s">
        <v>574</v>
      </c>
      <c r="C92" s="206"/>
      <c r="D92" s="551">
        <f>SUM(D85:D91)</f>
        <v>0</v>
      </c>
      <c r="E92" s="22" t="e">
        <f>SUM(E85:E91)</f>
        <v>#DIV/0!</v>
      </c>
      <c r="G92" s="18"/>
      <c r="H92" s="206"/>
    </row>
    <row r="93" spans="3:9" ht="15">
      <c r="C93" s="206"/>
      <c r="D93" s="180" t="s">
        <v>119</v>
      </c>
      <c r="F93"/>
      <c r="G93" s="168"/>
      <c r="H93" s="214"/>
      <c r="I93" s="214"/>
    </row>
    <row r="94" spans="1:9" ht="15.75">
      <c r="A94" s="1" t="s">
        <v>76</v>
      </c>
      <c r="B94" s="18"/>
      <c r="C94" s="208"/>
      <c r="D94" s="187"/>
      <c r="E94" s="21"/>
      <c r="F94" s="91"/>
      <c r="G94" s="168"/>
      <c r="H94" s="214"/>
      <c r="I94" s="214"/>
    </row>
    <row r="95" spans="1:9" ht="15">
      <c r="A95" s="67" t="s">
        <v>497</v>
      </c>
      <c r="B95" s="18"/>
      <c r="C95" s="208"/>
      <c r="D95" s="188" t="e">
        <f>FIRST2</f>
        <v>#DIV/0!</v>
      </c>
      <c r="E95" s="22" t="e">
        <f aca="true" t="shared" si="2" ref="E95:E101">D95/$D$79</f>
        <v>#DIV/0!</v>
      </c>
      <c r="F95" s="91"/>
      <c r="G95" s="168"/>
      <c r="H95" s="214"/>
      <c r="I95" s="214"/>
    </row>
    <row r="96" spans="1:9" ht="15">
      <c r="A96" s="67" t="s">
        <v>498</v>
      </c>
      <c r="B96" s="18"/>
      <c r="C96" s="208"/>
      <c r="D96" s="188">
        <f>'2. Mort'!I29</f>
        <v>0</v>
      </c>
      <c r="E96" s="22" t="e">
        <f t="shared" si="2"/>
        <v>#DIV/0!</v>
      </c>
      <c r="F96" s="168"/>
      <c r="G96" s="255"/>
      <c r="H96" s="256"/>
      <c r="I96" s="214"/>
    </row>
    <row r="97" spans="1:9" ht="15">
      <c r="A97" s="67" t="s">
        <v>499</v>
      </c>
      <c r="B97" s="18"/>
      <c r="C97" s="208"/>
      <c r="D97" s="188">
        <f>'2. Mort'!J29</f>
        <v>0</v>
      </c>
      <c r="E97" s="22" t="e">
        <f t="shared" si="2"/>
        <v>#DIV/0!</v>
      </c>
      <c r="F97" s="176"/>
      <c r="G97" s="255"/>
      <c r="H97" s="257"/>
      <c r="I97" s="214"/>
    </row>
    <row r="98" spans="1:9" ht="15">
      <c r="A98" s="753" t="s">
        <v>248</v>
      </c>
      <c r="B98" s="18"/>
      <c r="C98" s="208"/>
      <c r="D98" s="188">
        <f>'2. Mort'!K29</f>
        <v>0</v>
      </c>
      <c r="E98" s="22" t="e">
        <f t="shared" si="2"/>
        <v>#DIV/0!</v>
      </c>
      <c r="F98" s="168"/>
      <c r="G98" s="258"/>
      <c r="H98" s="257"/>
      <c r="I98" s="214"/>
    </row>
    <row r="99" spans="1:9" ht="15.75">
      <c r="A99" s="67" t="s">
        <v>249</v>
      </c>
      <c r="B99" s="18"/>
      <c r="C99" s="208"/>
      <c r="D99" s="465"/>
      <c r="E99" s="22" t="e">
        <f t="shared" si="2"/>
        <v>#DIV/0!</v>
      </c>
      <c r="F99" s="205"/>
      <c r="G99" s="259"/>
      <c r="H99" s="257"/>
      <c r="I99" s="214"/>
    </row>
    <row r="100" spans="1:9" ht="15.75">
      <c r="A100" s="67" t="s">
        <v>70</v>
      </c>
      <c r="B100" s="18"/>
      <c r="C100" s="208"/>
      <c r="D100" s="465"/>
      <c r="E100" s="22" t="e">
        <f t="shared" si="2"/>
        <v>#DIV/0!</v>
      </c>
      <c r="F100" s="205"/>
      <c r="G100" s="259"/>
      <c r="H100" s="257"/>
      <c r="I100" s="214"/>
    </row>
    <row r="101" spans="1:9" ht="15.75">
      <c r="A101" s="753" t="s">
        <v>357</v>
      </c>
      <c r="B101" s="18"/>
      <c r="C101" s="208"/>
      <c r="D101" s="466"/>
      <c r="E101" s="22" t="e">
        <f t="shared" si="2"/>
        <v>#DIV/0!</v>
      </c>
      <c r="F101" s="205"/>
      <c r="G101" s="259"/>
      <c r="H101" s="257"/>
      <c r="I101" s="214"/>
    </row>
    <row r="102" spans="1:9" ht="15.75">
      <c r="A102" s="1305" t="str">
        <f>A92</f>
        <v>TOTAL</v>
      </c>
      <c r="B102" s="72"/>
      <c r="C102" s="208"/>
      <c r="D102" s="188" t="e">
        <f>SUM(D95:D101)</f>
        <v>#DIV/0!</v>
      </c>
      <c r="E102" s="22" t="e">
        <f>SUM(E95:E101)</f>
        <v>#DIV/0!</v>
      </c>
      <c r="F102" s="91"/>
      <c r="G102" s="214"/>
      <c r="H102" s="214"/>
      <c r="I102" s="214"/>
    </row>
    <row r="103" spans="1:9" ht="15.75">
      <c r="A103" s="18"/>
      <c r="B103" s="72"/>
      <c r="C103" s="209"/>
      <c r="D103" s="189"/>
      <c r="E103" s="22"/>
      <c r="F103" s="205"/>
      <c r="G103" s="168"/>
      <c r="H103" s="214"/>
      <c r="I103" s="214"/>
    </row>
    <row r="104" spans="1:9" ht="15">
      <c r="A104" s="18"/>
      <c r="B104" s="18"/>
      <c r="C104" s="208"/>
      <c r="D104" s="185"/>
      <c r="E104" s="22"/>
      <c r="F104" s="91"/>
      <c r="G104" s="214"/>
      <c r="H104" s="214"/>
      <c r="I104" s="214"/>
    </row>
    <row r="105" spans="1:9" ht="15">
      <c r="A105" s="18"/>
      <c r="B105" s="18"/>
      <c r="C105" s="208"/>
      <c r="D105" s="181"/>
      <c r="E105" s="21"/>
      <c r="F105" s="91"/>
      <c r="G105" s="214"/>
      <c r="H105" s="214"/>
      <c r="I105" s="214"/>
    </row>
    <row r="106" spans="1:9" ht="15">
      <c r="A106" s="11"/>
      <c r="B106" s="11"/>
      <c r="C106" s="210"/>
      <c r="D106" s="183"/>
      <c r="E106" s="18"/>
      <c r="F106" s="260"/>
      <c r="G106" s="214"/>
      <c r="H106" s="214"/>
      <c r="I106" s="214"/>
    </row>
    <row r="107" spans="1:3" ht="15">
      <c r="A107" s="23"/>
      <c r="B107" s="13"/>
      <c r="C107" s="206"/>
    </row>
    <row r="108" ht="15">
      <c r="C108" s="206"/>
    </row>
    <row r="109" ht="15">
      <c r="C109" s="206"/>
    </row>
    <row r="110" ht="15">
      <c r="C110" s="206"/>
    </row>
    <row r="111" ht="15">
      <c r="C111" s="206"/>
    </row>
  </sheetData>
  <sheetProtection/>
  <printOptions/>
  <pageMargins left="0.75" right="0.5" top="0.75" bottom="0.5" header="0.5" footer="0.5"/>
  <pageSetup firstPageNumber="207" useFirstPageNumber="1" fitToHeight="1" fitToWidth="1" horizontalDpi="600" verticalDpi="600" orientation="portrait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97"/>
  <sheetViews>
    <sheetView zoomScale="70" zoomScaleNormal="70" zoomScalePageLayoutView="0" workbookViewId="0" topLeftCell="A1">
      <selection activeCell="A3" sqref="A3"/>
    </sheetView>
  </sheetViews>
  <sheetFormatPr defaultColWidth="8.88671875" defaultRowHeight="15"/>
  <cols>
    <col min="1" max="1" width="27.10546875" style="44" bestFit="1" customWidth="1"/>
    <col min="2" max="2" width="14.99609375" style="44" customWidth="1"/>
    <col min="3" max="3" width="14.6640625" style="44" customWidth="1"/>
    <col min="4" max="4" width="17.5546875" style="44" customWidth="1"/>
    <col min="5" max="5" width="10.88671875" style="44" customWidth="1"/>
    <col min="6" max="6" width="15.88671875" style="44" customWidth="1"/>
    <col min="7" max="7" width="11.77734375" style="44" bestFit="1" customWidth="1"/>
    <col min="8" max="8" width="12.88671875" style="44" customWidth="1"/>
    <col min="9" max="16384" width="8.88671875" style="44" customWidth="1"/>
  </cols>
  <sheetData>
    <row r="1" spans="1:6" ht="15.75">
      <c r="A1" s="1" t="str">
        <f>'2. Devel. Bud'!A1</f>
        <v>Willets Point Phase 1 Development</v>
      </c>
      <c r="E1" s="429"/>
      <c r="F1" s="429"/>
    </row>
    <row r="2" spans="1:6" ht="15.75">
      <c r="A2" s="1" t="str">
        <f>'2. Devel. Bud'!A2</f>
        <v>Building 2</v>
      </c>
      <c r="E2" s="429" t="str">
        <f>'2. Sources and Use'!C2</f>
        <v>Units:</v>
      </c>
      <c r="F2" s="429">
        <f>'2. Units &amp; Income'!B24</f>
        <v>0</v>
      </c>
    </row>
    <row r="3" spans="1:5" ht="15.75">
      <c r="A3" s="32"/>
      <c r="B3" s="92"/>
      <c r="C3" s="92"/>
      <c r="D3" s="92"/>
      <c r="E3" s="93"/>
    </row>
    <row r="4" spans="1:5" ht="15.75">
      <c r="A4" s="32" t="s">
        <v>202</v>
      </c>
      <c r="B4" s="92"/>
      <c r="C4" s="92"/>
      <c r="D4" s="92"/>
      <c r="E4" s="93"/>
    </row>
    <row r="5" spans="1:5" ht="15.75">
      <c r="A5" s="32"/>
      <c r="B5" s="92"/>
      <c r="C5" s="92"/>
      <c r="D5" s="92"/>
      <c r="E5" s="93"/>
    </row>
    <row r="6" spans="1:5" ht="15.75">
      <c r="A6" s="32"/>
      <c r="B6" s="92"/>
      <c r="C6" s="92"/>
      <c r="D6" s="92"/>
      <c r="E6" s="93"/>
    </row>
    <row r="7" spans="1:3" ht="15.75">
      <c r="A7" s="31" t="s">
        <v>138</v>
      </c>
      <c r="B7" s="107"/>
      <c r="C7" s="97" t="s">
        <v>137</v>
      </c>
    </row>
    <row r="8" spans="1:3" ht="15">
      <c r="A8" s="97" t="s">
        <v>101</v>
      </c>
      <c r="B8" s="435" t="e">
        <f>'2. Devel. Bud'!D95</f>
        <v>#DIV/0!</v>
      </c>
      <c r="C8" s="100" t="e">
        <f>B8/B10</f>
        <v>#DIV/0!</v>
      </c>
    </row>
    <row r="9" spans="1:3" ht="15">
      <c r="A9" s="97" t="s">
        <v>102</v>
      </c>
      <c r="B9" s="94" t="e">
        <f>B10-B8</f>
        <v>#DIV/0!</v>
      </c>
      <c r="C9" s="100" t="e">
        <f>B9/B10</f>
        <v>#DIV/0!</v>
      </c>
    </row>
    <row r="10" spans="1:3" ht="15.75">
      <c r="A10" s="97" t="s">
        <v>100</v>
      </c>
      <c r="B10" s="261">
        <f>'2. Devel. Bud'!D85</f>
        <v>0</v>
      </c>
      <c r="C10" s="92"/>
    </row>
    <row r="11" spans="1:3" ht="15.75">
      <c r="A11" s="108"/>
      <c r="B11" s="92"/>
      <c r="C11" s="92"/>
    </row>
    <row r="12" spans="1:3" ht="15.75">
      <c r="A12" s="108"/>
      <c r="B12" s="92"/>
      <c r="C12" s="92"/>
    </row>
    <row r="13" spans="1:3" ht="15.75">
      <c r="A13" s="112" t="s">
        <v>42</v>
      </c>
      <c r="B13" s="97" t="s">
        <v>139</v>
      </c>
      <c r="C13" s="97" t="s">
        <v>140</v>
      </c>
    </row>
    <row r="14" spans="1:5" ht="15">
      <c r="A14" s="97" t="s">
        <v>141</v>
      </c>
      <c r="B14" s="111"/>
      <c r="C14" s="524">
        <f>B14/12</f>
        <v>0</v>
      </c>
      <c r="D14" s="92"/>
      <c r="E14" s="93"/>
    </row>
    <row r="15" spans="1:5" ht="15">
      <c r="A15" s="97" t="s">
        <v>142</v>
      </c>
      <c r="B15" s="111"/>
      <c r="C15" s="524">
        <f>B15/12</f>
        <v>0</v>
      </c>
      <c r="D15" s="92"/>
      <c r="E15" s="93"/>
    </row>
    <row r="16" spans="1:5" ht="15">
      <c r="A16" s="97" t="s">
        <v>143</v>
      </c>
      <c r="B16" s="44">
        <f>B14+B15</f>
        <v>0</v>
      </c>
      <c r="C16" s="524">
        <f>B16/12</f>
        <v>0</v>
      </c>
      <c r="D16" s="92"/>
      <c r="E16" s="93"/>
    </row>
    <row r="17" spans="1:5" ht="15">
      <c r="A17" s="97"/>
      <c r="C17" s="92"/>
      <c r="D17" s="92"/>
      <c r="E17" s="93"/>
    </row>
    <row r="18" spans="1:5" ht="15">
      <c r="A18" s="97"/>
      <c r="C18" s="92"/>
      <c r="D18" s="92"/>
      <c r="E18" s="93"/>
    </row>
    <row r="19" spans="1:6" ht="15.75">
      <c r="A19" s="112" t="s">
        <v>322</v>
      </c>
      <c r="C19" s="92"/>
      <c r="D19" s="92"/>
      <c r="E19" s="522"/>
      <c r="F19" s="522"/>
    </row>
    <row r="20" spans="1:5" ht="15">
      <c r="A20" s="113" t="s">
        <v>235</v>
      </c>
      <c r="B20" s="110"/>
      <c r="C20" s="95"/>
      <c r="D20" s="521"/>
      <c r="E20" s="93"/>
    </row>
    <row r="21" spans="1:5" ht="15">
      <c r="A21" s="113" t="s">
        <v>236</v>
      </c>
      <c r="B21" s="110"/>
      <c r="C21" s="96"/>
      <c r="D21" s="97"/>
      <c r="E21" s="93"/>
    </row>
    <row r="22" spans="1:5" ht="15">
      <c r="A22" s="113" t="s">
        <v>284</v>
      </c>
      <c r="B22" s="110"/>
      <c r="C22" s="367"/>
      <c r="D22" s="92"/>
      <c r="E22" s="93"/>
    </row>
    <row r="23" spans="1:5" ht="15">
      <c r="A23" s="113" t="s">
        <v>285</v>
      </c>
      <c r="B23" s="110"/>
      <c r="C23" s="367"/>
      <c r="D23" s="92"/>
      <c r="E23" s="93"/>
    </row>
    <row r="24" spans="1:5" ht="15">
      <c r="A24" s="113" t="s">
        <v>286</v>
      </c>
      <c r="B24" s="110"/>
      <c r="C24" s="367"/>
      <c r="D24" s="92"/>
      <c r="E24" s="93"/>
    </row>
    <row r="25" spans="1:5" ht="15">
      <c r="A25" s="92"/>
      <c r="B25" s="93"/>
      <c r="C25" s="367"/>
      <c r="D25" s="92"/>
      <c r="E25" s="93"/>
    </row>
    <row r="26" spans="1:5" ht="15.75">
      <c r="A26" s="160" t="s">
        <v>144</v>
      </c>
      <c r="B26" s="161"/>
      <c r="C26" s="162"/>
      <c r="D26" s="163"/>
      <c r="E26" s="161"/>
    </row>
    <row r="27" spans="1:5" ht="15">
      <c r="A27" s="164" t="s">
        <v>323</v>
      </c>
      <c r="B27" s="165">
        <v>0</v>
      </c>
      <c r="C27" s="163"/>
      <c r="D27" s="163"/>
      <c r="E27" s="161"/>
    </row>
    <row r="28" spans="1:5" ht="15">
      <c r="A28" s="166" t="s">
        <v>321</v>
      </c>
      <c r="B28" s="165">
        <v>0</v>
      </c>
      <c r="C28" s="163"/>
      <c r="D28" s="163"/>
      <c r="E28" s="161"/>
    </row>
    <row r="29" spans="1:5" ht="15">
      <c r="A29" s="164" t="s">
        <v>144</v>
      </c>
      <c r="B29" s="167">
        <f>SUM(B27:B28)</f>
        <v>0</v>
      </c>
      <c r="C29" s="163"/>
      <c r="D29" s="163"/>
      <c r="E29" s="161"/>
    </row>
    <row r="30" spans="1:5" ht="15">
      <c r="A30" s="164"/>
      <c r="B30" s="162"/>
      <c r="C30" s="163"/>
      <c r="D30" s="163"/>
      <c r="E30" s="161"/>
    </row>
    <row r="31" spans="1:5" ht="15">
      <c r="A31" s="97"/>
      <c r="C31" s="92"/>
      <c r="D31" s="92"/>
      <c r="E31" s="93"/>
    </row>
    <row r="32" spans="1:5" ht="15.75">
      <c r="A32" s="112" t="s">
        <v>154</v>
      </c>
      <c r="C32" s="92"/>
      <c r="D32" s="92"/>
      <c r="E32" s="93"/>
    </row>
    <row r="33" spans="1:5" ht="15.75">
      <c r="A33" s="112"/>
      <c r="C33" s="92"/>
      <c r="D33" s="92"/>
      <c r="E33" s="93"/>
    </row>
    <row r="34" spans="1:6" ht="15.75">
      <c r="A34" s="108" t="s">
        <v>148</v>
      </c>
      <c r="B34" s="114" t="s">
        <v>146</v>
      </c>
      <c r="C34" s="114" t="s">
        <v>67</v>
      </c>
      <c r="D34" s="115" t="s">
        <v>149</v>
      </c>
      <c r="E34" s="115" t="s">
        <v>147</v>
      </c>
      <c r="F34" s="117" t="s">
        <v>150</v>
      </c>
    </row>
    <row r="35" spans="1:6" ht="15">
      <c r="A35" s="97" t="s">
        <v>287</v>
      </c>
      <c r="B35" s="45" t="e">
        <f>B9</f>
        <v>#DIV/0!</v>
      </c>
      <c r="C35" s="116">
        <v>0.5</v>
      </c>
      <c r="D35" s="550">
        <f>C14</f>
        <v>0</v>
      </c>
      <c r="E35" s="95">
        <f>B21</f>
        <v>0</v>
      </c>
      <c r="F35" s="71" t="e">
        <f aca="true" t="shared" si="0" ref="F35:F41">B35*C35*D35*E35</f>
        <v>#DIV/0!</v>
      </c>
    </row>
    <row r="36" spans="1:6" ht="15">
      <c r="A36" s="97"/>
      <c r="B36" s="45" t="e">
        <f>B9</f>
        <v>#DIV/0!</v>
      </c>
      <c r="C36" s="116">
        <v>1</v>
      </c>
      <c r="D36" s="550">
        <f>C15</f>
        <v>0</v>
      </c>
      <c r="E36" s="95">
        <f>B21</f>
        <v>0</v>
      </c>
      <c r="F36" s="71" t="e">
        <f t="shared" si="0"/>
        <v>#DIV/0!</v>
      </c>
    </row>
    <row r="37" spans="1:6" ht="15">
      <c r="A37" s="97" t="s">
        <v>288</v>
      </c>
      <c r="B37" s="45" t="e">
        <f>B8</f>
        <v>#DIV/0!</v>
      </c>
      <c r="C37" s="116">
        <v>0.5</v>
      </c>
      <c r="D37" s="550">
        <f>C14</f>
        <v>0</v>
      </c>
      <c r="E37" s="95">
        <f>B20</f>
        <v>0</v>
      </c>
      <c r="F37" s="71" t="e">
        <f t="shared" si="0"/>
        <v>#DIV/0!</v>
      </c>
    </row>
    <row r="38" spans="1:6" ht="15">
      <c r="A38" s="97"/>
      <c r="B38" s="45" t="e">
        <f>B8</f>
        <v>#DIV/0!</v>
      </c>
      <c r="C38" s="116">
        <v>1</v>
      </c>
      <c r="D38" s="550">
        <f>C15</f>
        <v>0</v>
      </c>
      <c r="E38" s="95">
        <f>B20</f>
        <v>0</v>
      </c>
      <c r="F38" s="71" t="e">
        <f t="shared" si="0"/>
        <v>#DIV/0!</v>
      </c>
    </row>
    <row r="39" spans="1:6" ht="15">
      <c r="A39" s="97" t="str">
        <f>A22</f>
        <v>2nd Construction</v>
      </c>
      <c r="B39" s="45">
        <f>'2. Devel. Bud'!D86</f>
        <v>0</v>
      </c>
      <c r="C39" s="116">
        <v>1</v>
      </c>
      <c r="D39" s="576">
        <f>B22</f>
        <v>0</v>
      </c>
      <c r="E39" s="95">
        <f>B22</f>
        <v>0</v>
      </c>
      <c r="F39" s="71">
        <f t="shared" si="0"/>
        <v>0</v>
      </c>
    </row>
    <row r="40" spans="1:6" ht="15">
      <c r="A40" s="97" t="str">
        <f>A23</f>
        <v>3rd Construction</v>
      </c>
      <c r="B40" s="45">
        <f>'2. Devel. Bud'!D87</f>
        <v>0</v>
      </c>
      <c r="C40" s="116">
        <v>1</v>
      </c>
      <c r="D40" s="576">
        <f>B23</f>
        <v>0</v>
      </c>
      <c r="E40" s="95">
        <f>B23</f>
        <v>0</v>
      </c>
      <c r="F40" s="71">
        <f t="shared" si="0"/>
        <v>0</v>
      </c>
    </row>
    <row r="41" spans="1:6" ht="15">
      <c r="A41" s="97" t="str">
        <f>A24</f>
        <v>4th Construction</v>
      </c>
      <c r="B41" s="45">
        <f>'2. Devel. Bud'!D88</f>
        <v>0</v>
      </c>
      <c r="C41" s="116">
        <v>1</v>
      </c>
      <c r="D41" s="576">
        <f>B24</f>
        <v>0</v>
      </c>
      <c r="E41" s="95">
        <f>B24</f>
        <v>0</v>
      </c>
      <c r="F41" s="71">
        <f t="shared" si="0"/>
        <v>0</v>
      </c>
    </row>
    <row r="42" spans="3:6" ht="15.75">
      <c r="C42" s="92"/>
      <c r="D42" s="92"/>
      <c r="E42" s="108" t="s">
        <v>151</v>
      </c>
      <c r="F42" s="118" t="e">
        <f>SUM(F35:F41)</f>
        <v>#DIV/0!</v>
      </c>
    </row>
    <row r="43" spans="1:6" ht="15.75">
      <c r="A43" s="112"/>
      <c r="C43" s="92"/>
      <c r="D43" s="92"/>
      <c r="E43" s="93"/>
      <c r="F43" s="71"/>
    </row>
    <row r="44" spans="1:5" ht="15.75">
      <c r="A44" s="112"/>
      <c r="C44" s="92"/>
      <c r="D44" s="92"/>
      <c r="E44" s="93"/>
    </row>
    <row r="45" spans="1:6" ht="15.75">
      <c r="A45" s="108" t="s">
        <v>144</v>
      </c>
      <c r="B45" s="114" t="s">
        <v>146</v>
      </c>
      <c r="C45" s="114" t="s">
        <v>67</v>
      </c>
      <c r="D45" s="115" t="s">
        <v>149</v>
      </c>
      <c r="E45" s="115" t="s">
        <v>147</v>
      </c>
      <c r="F45" s="117" t="s">
        <v>150</v>
      </c>
    </row>
    <row r="46" spans="1:6" ht="15">
      <c r="A46" s="97" t="s">
        <v>152</v>
      </c>
      <c r="B46" s="45">
        <f>B10</f>
        <v>0</v>
      </c>
      <c r="C46" s="116">
        <v>0.5</v>
      </c>
      <c r="D46" s="550">
        <f>C14</f>
        <v>0</v>
      </c>
      <c r="E46" s="95">
        <f>B29</f>
        <v>0</v>
      </c>
      <c r="F46" s="71">
        <f>B46*C46*D46*E46</f>
        <v>0</v>
      </c>
    </row>
    <row r="47" spans="1:6" ht="15">
      <c r="A47" s="97"/>
      <c r="B47" s="45">
        <f>B10</f>
        <v>0</v>
      </c>
      <c r="C47" s="116">
        <v>1</v>
      </c>
      <c r="D47" s="550">
        <f>C15</f>
        <v>0</v>
      </c>
      <c r="E47" s="95">
        <f>B29</f>
        <v>0</v>
      </c>
      <c r="F47" s="71">
        <f>B47*C47*D47*E47</f>
        <v>0</v>
      </c>
    </row>
    <row r="48" spans="1:6" ht="15">
      <c r="A48" s="97" t="s">
        <v>54</v>
      </c>
      <c r="B48" s="45">
        <f>'2. Devel. Bud'!D86</f>
        <v>0</v>
      </c>
      <c r="C48" s="116">
        <v>1</v>
      </c>
      <c r="D48" s="550">
        <f>C16</f>
        <v>0</v>
      </c>
      <c r="E48" s="95">
        <f>B22</f>
        <v>0</v>
      </c>
      <c r="F48" s="71">
        <f>B48*C48*D48*E48</f>
        <v>0</v>
      </c>
    </row>
    <row r="49" spans="1:6" ht="15">
      <c r="A49" s="97" t="s">
        <v>145</v>
      </c>
      <c r="B49" s="45">
        <f>'2. Devel. Bud'!D87</f>
        <v>0</v>
      </c>
      <c r="C49" s="116">
        <v>1</v>
      </c>
      <c r="D49" s="550">
        <f>C16</f>
        <v>0</v>
      </c>
      <c r="E49" s="95">
        <f>B23</f>
        <v>0</v>
      </c>
      <c r="F49" s="71">
        <f>B49*C49*D49*E49</f>
        <v>0</v>
      </c>
    </row>
    <row r="50" spans="3:6" ht="15.75">
      <c r="C50" s="92"/>
      <c r="D50" s="92"/>
      <c r="E50" s="108" t="s">
        <v>153</v>
      </c>
      <c r="F50" s="118">
        <f>SUM(F46:F49)</f>
        <v>0</v>
      </c>
    </row>
    <row r="51" spans="1:5" ht="15">
      <c r="A51" s="92"/>
      <c r="B51" s="92"/>
      <c r="C51" s="92"/>
      <c r="D51" s="92"/>
      <c r="E51" s="93"/>
    </row>
    <row r="52" spans="1:8" ht="15">
      <c r="A52" s="75"/>
      <c r="B52" s="75"/>
      <c r="C52" s="75"/>
      <c r="D52" s="75"/>
      <c r="E52" s="106"/>
      <c r="F52" s="75"/>
      <c r="G52" s="92"/>
      <c r="H52" s="92"/>
    </row>
    <row r="53" ht="15.75">
      <c r="A53" s="31" t="s">
        <v>133</v>
      </c>
    </row>
    <row r="54" spans="1:2" s="31" customFormat="1" ht="15.75">
      <c r="A54" s="46" t="s">
        <v>158</v>
      </c>
      <c r="B54" s="41"/>
    </row>
    <row r="55" s="31" customFormat="1" ht="15.75">
      <c r="B55" s="41"/>
    </row>
    <row r="56" spans="1:2" s="31" customFormat="1" ht="15.75">
      <c r="A56" s="113" t="s">
        <v>157</v>
      </c>
      <c r="B56" s="119"/>
    </row>
    <row r="57" s="31" customFormat="1" ht="15.75">
      <c r="B57" s="41"/>
    </row>
    <row r="58" s="31" customFormat="1" ht="15.75">
      <c r="B58" s="41"/>
    </row>
    <row r="59" spans="2:3" ht="17.25" customHeight="1">
      <c r="B59" s="120" t="s">
        <v>207</v>
      </c>
      <c r="C59" s="120" t="s">
        <v>206</v>
      </c>
    </row>
    <row r="60" spans="1:3" ht="15">
      <c r="A60" s="107" t="s">
        <v>155</v>
      </c>
      <c r="B60" s="230">
        <f>B21</f>
        <v>0</v>
      </c>
      <c r="C60" s="77">
        <f>B20</f>
        <v>0</v>
      </c>
    </row>
    <row r="61" spans="1:3" ht="15">
      <c r="A61" s="97" t="s">
        <v>102</v>
      </c>
      <c r="B61" s="45" t="e">
        <f>B9</f>
        <v>#DIV/0!</v>
      </c>
      <c r="C61" s="182" t="e">
        <f>B8</f>
        <v>#DIV/0!</v>
      </c>
    </row>
    <row r="62" spans="1:3" ht="15">
      <c r="A62" s="107" t="s">
        <v>67</v>
      </c>
      <c r="B62" s="76">
        <v>0.5</v>
      </c>
      <c r="C62" s="76">
        <v>0.5</v>
      </c>
    </row>
    <row r="63" spans="1:3" ht="15">
      <c r="A63" s="107" t="s">
        <v>103</v>
      </c>
      <c r="B63" s="101">
        <f>B60-B56</f>
        <v>0</v>
      </c>
      <c r="C63" s="101">
        <f>C60-B56</f>
        <v>0</v>
      </c>
    </row>
    <row r="64" spans="1:3" ht="15">
      <c r="A64" s="107" t="s">
        <v>156</v>
      </c>
      <c r="B64" s="44">
        <v>1.5</v>
      </c>
      <c r="C64" s="44">
        <v>1.5</v>
      </c>
    </row>
    <row r="65" spans="1:4" ht="15">
      <c r="A65" s="107"/>
      <c r="B65" s="71" t="e">
        <f>B61*B62*B63*B64</f>
        <v>#DIV/0!</v>
      </c>
      <c r="C65" s="71" t="e">
        <f>C61*C62*C63*C64</f>
        <v>#DIV/0!</v>
      </c>
      <c r="D65" s="71"/>
    </row>
    <row r="66" ht="15">
      <c r="A66" s="107"/>
    </row>
    <row r="67" spans="1:2" ht="15.75">
      <c r="A67" s="108" t="s">
        <v>53</v>
      </c>
      <c r="B67" s="262" t="e">
        <f>B65+C65</f>
        <v>#DIV/0!</v>
      </c>
    </row>
    <row r="68" spans="1:2" ht="15.75">
      <c r="A68" s="32"/>
      <c r="B68" s="92"/>
    </row>
    <row r="69" spans="1:2" ht="15.75">
      <c r="A69" s="32"/>
      <c r="B69" s="92"/>
    </row>
    <row r="70" spans="1:4" ht="15.75">
      <c r="A70" s="31" t="s">
        <v>203</v>
      </c>
      <c r="B70" s="13"/>
      <c r="D70" s="526"/>
    </row>
    <row r="71" spans="1:3" ht="15">
      <c r="A71" s="92"/>
      <c r="B71" s="92" t="s">
        <v>148</v>
      </c>
      <c r="C71" s="44" t="s">
        <v>144</v>
      </c>
    </row>
    <row r="72" spans="1:3" ht="15">
      <c r="A72" s="92" t="s">
        <v>138</v>
      </c>
      <c r="B72" s="92">
        <f>'2. Devel. Bud'!D85</f>
        <v>0</v>
      </c>
      <c r="C72" s="92">
        <f>'2. Devel. Bud'!D85</f>
        <v>0</v>
      </c>
    </row>
    <row r="73" spans="1:3" ht="15">
      <c r="A73" s="92" t="s">
        <v>204</v>
      </c>
      <c r="B73" s="92">
        <v>60</v>
      </c>
      <c r="C73" s="563">
        <v>35</v>
      </c>
    </row>
    <row r="74" spans="1:3" ht="15">
      <c r="A74" s="214" t="s">
        <v>147</v>
      </c>
      <c r="B74" s="592">
        <f>B20</f>
        <v>0</v>
      </c>
      <c r="C74" s="592">
        <f>B29</f>
        <v>0</v>
      </c>
    </row>
    <row r="75" spans="1:3" ht="15">
      <c r="A75" s="214" t="s">
        <v>205</v>
      </c>
      <c r="B75" s="259">
        <f>'2. Devel. Bud'!D85+('2. Devel. Bud'!D85*('2. Cons Int &amp; Neg Arb'!B73/360)*'2. Cons Int &amp; Neg Arb'!B74)</f>
        <v>0</v>
      </c>
      <c r="C75" s="259">
        <f>'2. Devel. Bud'!D85+('2. Devel. Bud'!D85*('2. Cons Int &amp; Neg Arb'!C73/365)*'2. Cons Int &amp; Neg Arb'!C74)</f>
        <v>0</v>
      </c>
    </row>
    <row r="76" spans="1:2" ht="15">
      <c r="A76" s="92"/>
      <c r="B76" s="98"/>
    </row>
    <row r="77" spans="1:2" ht="15">
      <c r="A77" s="92"/>
      <c r="B77" s="99"/>
    </row>
    <row r="78" spans="1:2" ht="15">
      <c r="A78" s="92"/>
      <c r="B78" s="92"/>
    </row>
    <row r="79" spans="1:2" ht="15">
      <c r="A79" s="92"/>
      <c r="B79" s="92"/>
    </row>
    <row r="80" spans="1:2" ht="15">
      <c r="A80" s="92"/>
      <c r="B80" s="102"/>
    </row>
    <row r="81" spans="1:2" ht="15">
      <c r="A81" s="92"/>
      <c r="B81" s="102"/>
    </row>
    <row r="82" spans="1:2" ht="15">
      <c r="A82" s="92"/>
      <c r="B82" s="102"/>
    </row>
    <row r="87" spans="1:2" ht="15">
      <c r="A87" s="92"/>
      <c r="B87" s="45"/>
    </row>
    <row r="88" spans="1:2" ht="15">
      <c r="A88" s="92"/>
      <c r="B88" s="76"/>
    </row>
    <row r="89" spans="1:2" ht="15">
      <c r="A89" s="92"/>
      <c r="B89" s="103"/>
    </row>
    <row r="90" ht="15">
      <c r="A90" s="92"/>
    </row>
    <row r="92" ht="15">
      <c r="B92" s="104"/>
    </row>
    <row r="94" ht="15">
      <c r="B94" s="105"/>
    </row>
    <row r="97" spans="1:2" ht="15.75">
      <c r="A97" s="31"/>
      <c r="B97" s="34"/>
    </row>
  </sheetData>
  <sheetProtection/>
  <printOptions/>
  <pageMargins left="0.75" right="0.5" top="0.75" bottom="0.5" header="0.5" footer="0.5"/>
  <pageSetup firstPageNumber="208" useFirstPageNumber="1" fitToHeight="1" fitToWidth="1" horizontalDpi="600" verticalDpi="600" orientation="portrait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5"/>
    <pageSetUpPr fitToPage="1"/>
  </sheetPr>
  <dimension ref="A1:S104"/>
  <sheetViews>
    <sheetView defaultGridColor="0" zoomScale="70" zoomScaleNormal="70" zoomScalePageLayoutView="0" colorId="22" workbookViewId="0" topLeftCell="A1">
      <selection activeCell="A3" sqref="A3"/>
    </sheetView>
  </sheetViews>
  <sheetFormatPr defaultColWidth="9.77734375" defaultRowHeight="15"/>
  <cols>
    <col min="1" max="1" width="17.3359375" style="92" customWidth="1"/>
    <col min="2" max="2" width="12.99609375" style="92" customWidth="1"/>
    <col min="3" max="3" width="14.88671875" style="92" customWidth="1"/>
    <col min="4" max="4" width="13.10546875" style="92" customWidth="1"/>
    <col min="5" max="8" width="11.77734375" style="92" customWidth="1"/>
    <col min="9" max="9" width="13.10546875" style="92" customWidth="1"/>
    <col min="10" max="10" width="10.6640625" style="92" customWidth="1"/>
    <col min="11" max="11" width="11.3359375" style="92" bestFit="1" customWidth="1"/>
    <col min="12" max="12" width="11.21484375" style="92" customWidth="1"/>
    <col min="13" max="16384" width="9.77734375" style="92" customWidth="1"/>
  </cols>
  <sheetData>
    <row r="1" spans="1:14" ht="15.75">
      <c r="A1" s="203" t="str">
        <f>'2. Sources and Use'!A1</f>
        <v>Willets Point Phase 1 Development</v>
      </c>
      <c r="B1" s="168"/>
      <c r="C1" s="214"/>
      <c r="D1" s="214"/>
      <c r="E1" s="214"/>
      <c r="H1" s="203"/>
      <c r="I1" s="203"/>
      <c r="J1" s="214"/>
      <c r="K1" s="214"/>
      <c r="L1" s="214"/>
      <c r="M1" s="214"/>
      <c r="N1" s="214"/>
    </row>
    <row r="2" spans="1:14" ht="15.75">
      <c r="A2" s="203" t="str">
        <f>'2. Sources and Use'!A2</f>
        <v>Building 2</v>
      </c>
      <c r="B2" s="168"/>
      <c r="C2" s="214"/>
      <c r="D2" s="214"/>
      <c r="E2" s="214"/>
      <c r="H2" s="730" t="s">
        <v>232</v>
      </c>
      <c r="I2" s="733">
        <f>B24</f>
        <v>0</v>
      </c>
      <c r="J2" s="214"/>
      <c r="K2" s="214"/>
      <c r="L2" s="214"/>
      <c r="M2" s="214"/>
      <c r="N2" s="214"/>
    </row>
    <row r="3" spans="1:14" ht="15.75">
      <c r="A3" s="203"/>
      <c r="B3" s="168"/>
      <c r="C3" s="214"/>
      <c r="D3" s="214"/>
      <c r="E3" s="214"/>
      <c r="H3" s="732" t="s">
        <v>484</v>
      </c>
      <c r="I3" s="733">
        <f>D24</f>
        <v>0</v>
      </c>
      <c r="J3" s="214"/>
      <c r="K3" s="214"/>
      <c r="L3" s="214"/>
      <c r="M3" s="214"/>
      <c r="N3" s="214"/>
    </row>
    <row r="4" spans="1:14" ht="15.75">
      <c r="A4" s="203" t="s">
        <v>658</v>
      </c>
      <c r="B4" s="168"/>
      <c r="C4" s="214"/>
      <c r="D4" s="214"/>
      <c r="E4" s="214"/>
      <c r="J4" s="214"/>
      <c r="K4" s="214"/>
      <c r="L4" s="214"/>
      <c r="M4" s="214"/>
      <c r="N4" s="214"/>
    </row>
    <row r="5" spans="1:14" ht="15.75" thickBot="1">
      <c r="A5" s="268"/>
      <c r="B5" s="268"/>
      <c r="C5" s="268"/>
      <c r="D5" s="268"/>
      <c r="E5" s="268"/>
      <c r="F5" s="268"/>
      <c r="G5" s="268"/>
      <c r="H5" s="268"/>
      <c r="I5" s="268"/>
      <c r="J5" s="214"/>
      <c r="K5" s="214"/>
      <c r="L5" s="214"/>
      <c r="M5" s="214"/>
      <c r="N5" s="214"/>
    </row>
    <row r="6" spans="1:14" ht="18.75" customHeight="1" thickTop="1">
      <c r="A6" s="280" t="s">
        <v>373</v>
      </c>
      <c r="B6" s="196" t="s">
        <v>354</v>
      </c>
      <c r="C6" s="214"/>
      <c r="D6" s="580" t="s">
        <v>351</v>
      </c>
      <c r="E6" s="580" t="s">
        <v>352</v>
      </c>
      <c r="F6" s="581"/>
      <c r="G6" s="168"/>
      <c r="H6" s="214"/>
      <c r="I6" s="278"/>
      <c r="J6" s="214"/>
      <c r="K6" s="214"/>
      <c r="L6" s="214"/>
      <c r="M6" s="214"/>
      <c r="N6" s="214"/>
    </row>
    <row r="7" spans="1:14" ht="15.75">
      <c r="A7" s="284" t="e">
        <f>B7/$B$11</f>
        <v>#DIV/0!</v>
      </c>
      <c r="B7" s="438"/>
      <c r="C7" s="216" t="s">
        <v>347</v>
      </c>
      <c r="D7" s="586"/>
      <c r="E7" s="582">
        <f>D7*B7</f>
        <v>0</v>
      </c>
      <c r="F7" s="583"/>
      <c r="G7" s="168"/>
      <c r="H7" s="214"/>
      <c r="I7" s="274"/>
      <c r="J7" s="214"/>
      <c r="K7" s="214"/>
      <c r="L7" s="214"/>
      <c r="M7" s="214"/>
      <c r="N7" s="214"/>
    </row>
    <row r="8" spans="1:14" ht="15.75">
      <c r="A8" s="284" t="e">
        <f>B8/$B$11</f>
        <v>#DIV/0!</v>
      </c>
      <c r="B8" s="438"/>
      <c r="C8" s="216" t="s">
        <v>348</v>
      </c>
      <c r="D8" s="586"/>
      <c r="E8" s="582">
        <f>D8*B8</f>
        <v>0</v>
      </c>
      <c r="F8" s="583"/>
      <c r="G8" s="168"/>
      <c r="H8" s="214"/>
      <c r="I8" s="274"/>
      <c r="J8" s="214"/>
      <c r="K8" s="214"/>
      <c r="L8" s="214"/>
      <c r="M8" s="214"/>
      <c r="N8" s="214"/>
    </row>
    <row r="9" spans="1:14" ht="15.75">
      <c r="A9" s="284" t="e">
        <f>B9/$B$11</f>
        <v>#DIV/0!</v>
      </c>
      <c r="B9" s="438"/>
      <c r="C9" s="216" t="s">
        <v>349</v>
      </c>
      <c r="D9" s="586"/>
      <c r="E9" s="582">
        <f>D9*B9</f>
        <v>0</v>
      </c>
      <c r="F9" s="583"/>
      <c r="G9" s="168"/>
      <c r="H9" s="214"/>
      <c r="I9" s="274"/>
      <c r="J9" s="214"/>
      <c r="K9" s="214"/>
      <c r="L9" s="214"/>
      <c r="M9" s="214"/>
      <c r="N9" s="214"/>
    </row>
    <row r="10" spans="1:14" ht="15.75">
      <c r="A10" s="284" t="e">
        <f>B10/$B$11</f>
        <v>#DIV/0!</v>
      </c>
      <c r="B10" s="438"/>
      <c r="C10" s="216" t="s">
        <v>350</v>
      </c>
      <c r="D10" s="586"/>
      <c r="E10" s="582">
        <f>D10*B10</f>
        <v>0</v>
      </c>
      <c r="F10" s="583"/>
      <c r="G10" s="168"/>
      <c r="H10" s="214"/>
      <c r="I10" s="274"/>
      <c r="J10" s="214"/>
      <c r="K10" s="214"/>
      <c r="L10" s="214"/>
      <c r="M10" s="214"/>
      <c r="N10" s="214"/>
    </row>
    <row r="11" spans="1:14" ht="15.75">
      <c r="A11" s="285"/>
      <c r="B11" s="217">
        <f>SUM(B7:B10)</f>
        <v>0</v>
      </c>
      <c r="C11" s="219" t="s">
        <v>355</v>
      </c>
      <c r="D11" s="584"/>
      <c r="E11" s="584">
        <f>SUM(E7:E10)</f>
        <v>0</v>
      </c>
      <c r="F11" s="585" t="s">
        <v>353</v>
      </c>
      <c r="G11" s="168"/>
      <c r="H11" s="214"/>
      <c r="I11" s="274"/>
      <c r="J11" s="214"/>
      <c r="K11" s="214"/>
      <c r="L11" s="214"/>
      <c r="M11" s="214"/>
      <c r="N11" s="214"/>
    </row>
    <row r="12" spans="1:14" ht="15.75">
      <c r="A12" s="277"/>
      <c r="B12" s="196"/>
      <c r="D12" s="217"/>
      <c r="E12" s="381"/>
      <c r="F12" s="219"/>
      <c r="G12" s="168"/>
      <c r="H12" s="214"/>
      <c r="I12" s="274"/>
      <c r="J12" s="214"/>
      <c r="K12" s="214"/>
      <c r="L12" s="214"/>
      <c r="M12" s="214"/>
      <c r="N12" s="214"/>
    </row>
    <row r="13" spans="1:14" ht="15.75">
      <c r="A13" s="286"/>
      <c r="B13" s="287"/>
      <c r="C13" s="288"/>
      <c r="D13" s="289"/>
      <c r="E13" s="289"/>
      <c r="F13" s="382"/>
      <c r="G13" s="383"/>
      <c r="H13" s="279"/>
      <c r="I13" s="275"/>
      <c r="J13" s="214"/>
      <c r="K13" s="214"/>
      <c r="L13" s="214"/>
      <c r="M13" s="214"/>
      <c r="N13" s="214"/>
    </row>
    <row r="14" spans="1:14" ht="16.5" thickBot="1">
      <c r="A14" s="269"/>
      <c r="B14" s="270"/>
      <c r="C14" s="271"/>
      <c r="D14" s="272"/>
      <c r="E14" s="273"/>
      <c r="F14" s="242"/>
      <c r="G14" s="242"/>
      <c r="H14" s="268"/>
      <c r="I14" s="268"/>
      <c r="J14" s="214"/>
      <c r="K14" s="214"/>
      <c r="L14" s="214"/>
      <c r="M14" s="214"/>
      <c r="N14" s="214"/>
    </row>
    <row r="15" spans="1:14" ht="16.5" thickTop="1">
      <c r="A15" s="280" t="s">
        <v>372</v>
      </c>
      <c r="B15" s="196"/>
      <c r="C15" s="218"/>
      <c r="D15" s="217"/>
      <c r="E15" s="379"/>
      <c r="F15" s="214"/>
      <c r="G15" s="168"/>
      <c r="H15" s="214"/>
      <c r="I15" s="278"/>
      <c r="J15" s="214"/>
      <c r="K15" s="214"/>
      <c r="L15" s="214"/>
      <c r="M15" s="214"/>
      <c r="N15" s="214"/>
    </row>
    <row r="16" spans="1:14" ht="15" customHeight="1">
      <c r="A16" s="281"/>
      <c r="B16" s="196"/>
      <c r="C16" s="196"/>
      <c r="D16" s="196"/>
      <c r="E16" s="217" t="s">
        <v>189</v>
      </c>
      <c r="F16" s="263"/>
      <c r="G16" s="168"/>
      <c r="H16" s="214"/>
      <c r="I16" s="274"/>
      <c r="J16" s="214"/>
      <c r="K16" s="214"/>
      <c r="L16" s="214"/>
      <c r="M16" s="214"/>
      <c r="N16" s="214"/>
    </row>
    <row r="17" spans="1:14" ht="15.75">
      <c r="A17" s="169"/>
      <c r="B17" s="195" t="s">
        <v>371</v>
      </c>
      <c r="C17" s="195" t="s">
        <v>64</v>
      </c>
      <c r="D17" s="195" t="s">
        <v>126</v>
      </c>
      <c r="E17" s="217" t="s">
        <v>190</v>
      </c>
      <c r="F17" s="263"/>
      <c r="G17" s="593" t="s">
        <v>374</v>
      </c>
      <c r="H17" s="594" t="s">
        <v>375</v>
      </c>
      <c r="I17" s="274"/>
      <c r="J17" s="214"/>
      <c r="K17" s="214"/>
      <c r="L17" s="214"/>
      <c r="M17" s="214"/>
      <c r="N17" s="214"/>
    </row>
    <row r="18" spans="1:14" ht="15.75">
      <c r="A18" s="276" t="s">
        <v>63</v>
      </c>
      <c r="B18" s="527">
        <f>SUM(H54,H62,H70,H78,H86,H94)</f>
        <v>0</v>
      </c>
      <c r="C18" s="197">
        <v>2</v>
      </c>
      <c r="D18" s="197">
        <f>C18*B18</f>
        <v>0</v>
      </c>
      <c r="E18" s="438"/>
      <c r="F18" s="263"/>
      <c r="G18" s="196">
        <f>H94</f>
        <v>0</v>
      </c>
      <c r="H18" s="92">
        <f>H54+H62+H70+H86</f>
        <v>0</v>
      </c>
      <c r="I18" s="274"/>
      <c r="J18" s="214"/>
      <c r="K18" s="214"/>
      <c r="L18" s="214"/>
      <c r="M18" s="214"/>
      <c r="N18" s="214"/>
    </row>
    <row r="19" spans="1:14" ht="15.75">
      <c r="A19" s="276" t="s">
        <v>331</v>
      </c>
      <c r="B19" s="527">
        <f>SUM(H55,H63,H71,H79,H87,H95)</f>
        <v>0</v>
      </c>
      <c r="C19" s="197">
        <v>3</v>
      </c>
      <c r="D19" s="197">
        <f>B19*C19</f>
        <v>0</v>
      </c>
      <c r="E19" s="438"/>
      <c r="F19" s="263"/>
      <c r="G19" s="196">
        <f>H95</f>
        <v>0</v>
      </c>
      <c r="H19" s="92">
        <f>H55+H63+H71+H87</f>
        <v>0</v>
      </c>
      <c r="I19" s="274"/>
      <c r="J19" s="214"/>
      <c r="K19" s="214"/>
      <c r="L19" s="214"/>
      <c r="M19" s="214"/>
      <c r="N19" s="214"/>
    </row>
    <row r="20" spans="1:14" ht="15.75">
      <c r="A20" s="276" t="s">
        <v>332</v>
      </c>
      <c r="B20" s="527">
        <f>SUM(H56,H64,H72,H80,H88,H96)</f>
        <v>0</v>
      </c>
      <c r="C20" s="197">
        <v>4</v>
      </c>
      <c r="D20" s="198">
        <f>B20*C20</f>
        <v>0</v>
      </c>
      <c r="E20" s="438"/>
      <c r="F20" s="219"/>
      <c r="G20" s="196">
        <f>H96</f>
        <v>0</v>
      </c>
      <c r="H20" s="92">
        <f>H56+H64+H72+H88</f>
        <v>0</v>
      </c>
      <c r="I20" s="274"/>
      <c r="J20" s="214"/>
      <c r="K20" s="214"/>
      <c r="L20" s="214"/>
      <c r="M20" s="214"/>
      <c r="N20" s="214"/>
    </row>
    <row r="21" spans="1:14" ht="16.5" thickBot="1">
      <c r="A21" s="276" t="s">
        <v>333</v>
      </c>
      <c r="B21" s="527">
        <f>SUM(H57,H65,H73,H81,H89,H97)</f>
        <v>0</v>
      </c>
      <c r="C21" s="197">
        <v>5</v>
      </c>
      <c r="D21" s="198">
        <f>C21*B21</f>
        <v>0</v>
      </c>
      <c r="E21" s="438"/>
      <c r="F21" s="220"/>
      <c r="G21" s="595">
        <f>H97</f>
        <v>0</v>
      </c>
      <c r="H21" s="596">
        <f>H57+H65+H73+H89</f>
        <v>0</v>
      </c>
      <c r="I21" s="274"/>
      <c r="J21" s="214"/>
      <c r="K21" s="214"/>
      <c r="L21" s="214"/>
      <c r="M21" s="214"/>
      <c r="N21" s="214"/>
    </row>
    <row r="22" spans="1:14" ht="15.75">
      <c r="A22" s="533" t="s">
        <v>52</v>
      </c>
      <c r="B22" s="199">
        <f>SUM(B18:B21)</f>
        <v>0</v>
      </c>
      <c r="C22" s="199"/>
      <c r="D22" s="199">
        <f>SUM(D18:D21)</f>
        <v>0</v>
      </c>
      <c r="E22" s="214"/>
      <c r="F22" s="214"/>
      <c r="G22" s="196">
        <f>SUM(G18:G21)</f>
        <v>0</v>
      </c>
      <c r="H22" s="168">
        <f>SUM(H18:H21)</f>
        <v>0</v>
      </c>
      <c r="I22" s="274" t="s">
        <v>52</v>
      </c>
      <c r="J22" s="214"/>
      <c r="K22" s="214"/>
      <c r="L22" s="214"/>
      <c r="M22" s="214"/>
      <c r="N22" s="214"/>
    </row>
    <row r="23" spans="1:14" ht="15.75">
      <c r="A23" s="276" t="s">
        <v>75</v>
      </c>
      <c r="B23" s="438"/>
      <c r="C23" s="527">
        <f>+C20</f>
        <v>4</v>
      </c>
      <c r="D23" s="264">
        <f>C23*B23</f>
        <v>0</v>
      </c>
      <c r="E23" s="527">
        <f>E20</f>
        <v>0</v>
      </c>
      <c r="F23" s="263"/>
      <c r="G23" s="1306" t="e">
        <f>G22/UNITS2</f>
        <v>#DIV/0!</v>
      </c>
      <c r="H23" s="1306" t="e">
        <f>H22/UNITS2</f>
        <v>#DIV/0!</v>
      </c>
      <c r="I23" s="1307" t="s">
        <v>376</v>
      </c>
      <c r="J23" s="214"/>
      <c r="K23" s="214"/>
      <c r="L23" s="214"/>
      <c r="M23" s="214"/>
      <c r="N23" s="214"/>
    </row>
    <row r="24" spans="1:14" ht="15.75">
      <c r="A24" s="533" t="s">
        <v>0</v>
      </c>
      <c r="B24" s="199">
        <f>B23+B22</f>
        <v>0</v>
      </c>
      <c r="C24" s="200"/>
      <c r="D24" s="199">
        <f>SUM(D22:D23)</f>
        <v>0</v>
      </c>
      <c r="E24" s="217">
        <f>B18*E18+B19*E19+B20*E20+B21*E21+B23*E23</f>
        <v>0</v>
      </c>
      <c r="F24" s="293" t="s">
        <v>197</v>
      </c>
      <c r="G24" s="168"/>
      <c r="H24" s="168"/>
      <c r="I24" s="274"/>
      <c r="J24" s="214"/>
      <c r="K24" s="214"/>
      <c r="L24" s="214"/>
      <c r="M24" s="214"/>
      <c r="N24" s="214"/>
    </row>
    <row r="25" spans="1:14" ht="15">
      <c r="A25" s="282"/>
      <c r="B25" s="214"/>
      <c r="C25" s="214"/>
      <c r="D25" s="214"/>
      <c r="E25" s="380" t="e">
        <f>E24/B24</f>
        <v>#DIV/0!</v>
      </c>
      <c r="F25" s="294" t="s">
        <v>191</v>
      </c>
      <c r="G25" s="214"/>
      <c r="H25" s="214"/>
      <c r="I25" s="274"/>
      <c r="J25" s="214"/>
      <c r="K25" s="214"/>
      <c r="L25" s="214"/>
      <c r="M25" s="214"/>
      <c r="N25" s="214"/>
    </row>
    <row r="26" spans="1:14" ht="15">
      <c r="A26" s="283"/>
      <c r="B26" s="279"/>
      <c r="C26" s="279"/>
      <c r="D26" s="279"/>
      <c r="E26" s="378"/>
      <c r="F26" s="378"/>
      <c r="G26" s="279"/>
      <c r="H26" s="279"/>
      <c r="I26" s="275"/>
      <c r="J26" s="214"/>
      <c r="K26" s="214"/>
      <c r="L26" s="214"/>
      <c r="M26" s="214"/>
      <c r="N26" s="214"/>
    </row>
    <row r="27" spans="2:14" ht="15">
      <c r="B27" s="196"/>
      <c r="C27" s="196"/>
      <c r="D27" s="196"/>
      <c r="E27" s="168"/>
      <c r="F27" s="168"/>
      <c r="G27" s="168"/>
      <c r="H27" s="214"/>
      <c r="I27" s="376"/>
      <c r="J27" s="214"/>
      <c r="K27" s="214"/>
      <c r="L27" s="214"/>
      <c r="M27" s="214"/>
      <c r="N27" s="214"/>
    </row>
    <row r="28" spans="1:14" ht="16.5" thickBot="1">
      <c r="A28" s="215"/>
      <c r="B28" s="270"/>
      <c r="C28" s="270"/>
      <c r="D28" s="270"/>
      <c r="E28" s="242"/>
      <c r="F28" s="242"/>
      <c r="G28" s="242"/>
      <c r="H28" s="268"/>
      <c r="I28" s="268"/>
      <c r="J28" s="214"/>
      <c r="K28" s="214"/>
      <c r="L28" s="214"/>
      <c r="M28" s="214"/>
      <c r="N28" s="214"/>
    </row>
    <row r="29" spans="1:14" ht="16.5" thickTop="1">
      <c r="A29" s="290" t="s">
        <v>208</v>
      </c>
      <c r="B29" s="221"/>
      <c r="C29" s="168"/>
      <c r="D29" s="168"/>
      <c r="E29" s="377"/>
      <c r="F29" s="168"/>
      <c r="G29" s="168"/>
      <c r="H29" s="214"/>
      <c r="I29" s="278"/>
      <c r="J29" s="214"/>
      <c r="K29" s="214"/>
      <c r="L29" s="214"/>
      <c r="M29" s="214"/>
      <c r="N29" s="214"/>
    </row>
    <row r="30" spans="1:14" s="265" customFormat="1" ht="30" customHeight="1">
      <c r="A30" s="291"/>
      <c r="B30" s="201" t="s">
        <v>1</v>
      </c>
      <c r="C30" s="536" t="s">
        <v>2</v>
      </c>
      <c r="D30" s="201" t="s">
        <v>3</v>
      </c>
      <c r="E30" s="222"/>
      <c r="F30" s="222"/>
      <c r="G30" s="222"/>
      <c r="H30" s="224"/>
      <c r="I30" s="384"/>
      <c r="J30" s="224"/>
      <c r="K30" s="224"/>
      <c r="L30" s="224"/>
      <c r="M30" s="224"/>
      <c r="N30" s="224"/>
    </row>
    <row r="31" spans="1:14" ht="15">
      <c r="A31" s="276" t="s">
        <v>111</v>
      </c>
      <c r="B31" s="438"/>
      <c r="C31" s="470"/>
      <c r="D31" s="91">
        <f>B31*C31*12</f>
        <v>0</v>
      </c>
      <c r="E31" s="168"/>
      <c r="F31" s="168"/>
      <c r="G31" s="168"/>
      <c r="H31" s="214"/>
      <c r="I31" s="274"/>
      <c r="J31" s="214"/>
      <c r="K31" s="214"/>
      <c r="L31" s="214"/>
      <c r="M31" s="214"/>
      <c r="N31" s="214"/>
    </row>
    <row r="32" spans="1:14" ht="15">
      <c r="A32" s="276"/>
      <c r="B32" s="221"/>
      <c r="C32" s="223"/>
      <c r="D32" s="91"/>
      <c r="E32" s="168"/>
      <c r="F32" s="168"/>
      <c r="G32" s="168"/>
      <c r="H32" s="214"/>
      <c r="I32" s="274"/>
      <c r="J32" s="214"/>
      <c r="K32" s="214"/>
      <c r="L32" s="214"/>
      <c r="M32" s="214"/>
      <c r="N32" s="214"/>
    </row>
    <row r="33" spans="1:14" s="265" customFormat="1" ht="30.75" customHeight="1">
      <c r="A33" s="292"/>
      <c r="B33" s="537" t="s">
        <v>4</v>
      </c>
      <c r="C33" s="538" t="s">
        <v>5</v>
      </c>
      <c r="D33" s="201" t="s">
        <v>3</v>
      </c>
      <c r="E33" s="222"/>
      <c r="F33" s="266"/>
      <c r="G33" s="222"/>
      <c r="H33" s="224"/>
      <c r="I33" s="384"/>
      <c r="J33" s="224"/>
      <c r="K33" s="224"/>
      <c r="L33" s="224"/>
      <c r="M33" s="224"/>
      <c r="N33" s="224"/>
    </row>
    <row r="34" spans="1:14" ht="15">
      <c r="A34" s="276" t="s">
        <v>84</v>
      </c>
      <c r="B34" s="473">
        <f>E8</f>
        <v>0</v>
      </c>
      <c r="C34" s="439"/>
      <c r="D34" s="91">
        <f>C34*B34</f>
        <v>0</v>
      </c>
      <c r="E34" s="223"/>
      <c r="F34" s="168"/>
      <c r="G34" s="168"/>
      <c r="H34" s="214"/>
      <c r="I34" s="274"/>
      <c r="J34" s="214"/>
      <c r="K34" s="214"/>
      <c r="L34" s="214"/>
      <c r="M34" s="214"/>
      <c r="N34" s="214"/>
    </row>
    <row r="35" spans="1:14" ht="32.25" customHeight="1">
      <c r="A35" s="276"/>
      <c r="B35" s="537" t="s">
        <v>4</v>
      </c>
      <c r="C35" s="538" t="s">
        <v>5</v>
      </c>
      <c r="D35" s="91"/>
      <c r="E35" s="223"/>
      <c r="F35" s="168"/>
      <c r="G35" s="168"/>
      <c r="H35" s="214"/>
      <c r="I35" s="274"/>
      <c r="J35" s="214"/>
      <c r="K35" s="214"/>
      <c r="L35" s="214"/>
      <c r="M35" s="214"/>
      <c r="N35" s="214"/>
    </row>
    <row r="36" spans="1:14" ht="15">
      <c r="A36" s="276" t="s">
        <v>106</v>
      </c>
      <c r="B36" s="473">
        <f>E9</f>
        <v>0</v>
      </c>
      <c r="C36" s="439"/>
      <c r="D36" s="91">
        <f>C36*B36</f>
        <v>0</v>
      </c>
      <c r="E36" s="223"/>
      <c r="F36" s="168"/>
      <c r="G36" s="168"/>
      <c r="H36" s="214"/>
      <c r="I36" s="274"/>
      <c r="J36" s="214"/>
      <c r="K36" s="214"/>
      <c r="L36" s="214"/>
      <c r="M36" s="214"/>
      <c r="N36" s="214"/>
    </row>
    <row r="37" spans="1:14" ht="15">
      <c r="A37" s="282"/>
      <c r="B37" s="214"/>
      <c r="C37" s="214"/>
      <c r="D37" s="214"/>
      <c r="E37" s="214"/>
      <c r="F37" s="214"/>
      <c r="G37" s="214"/>
      <c r="H37" s="214"/>
      <c r="I37" s="274"/>
      <c r="J37" s="214"/>
      <c r="K37" s="214"/>
      <c r="L37" s="214"/>
      <c r="M37" s="214"/>
      <c r="N37" s="214"/>
    </row>
    <row r="38" spans="1:14" s="265" customFormat="1" ht="15" customHeight="1">
      <c r="A38" s="291"/>
      <c r="B38" s="201" t="s">
        <v>6</v>
      </c>
      <c r="C38" s="201" t="s">
        <v>130</v>
      </c>
      <c r="D38" s="201" t="s">
        <v>3</v>
      </c>
      <c r="E38" s="222"/>
      <c r="F38" s="222"/>
      <c r="G38" s="224"/>
      <c r="H38" s="224"/>
      <c r="I38" s="384"/>
      <c r="J38" s="224"/>
      <c r="K38" s="224"/>
      <c r="L38" s="224"/>
      <c r="M38" s="224"/>
      <c r="N38" s="224"/>
    </row>
    <row r="39" spans="1:14" ht="15">
      <c r="A39" s="276" t="s">
        <v>7</v>
      </c>
      <c r="B39" s="473">
        <f>+B24</f>
        <v>0</v>
      </c>
      <c r="C39" s="439"/>
      <c r="D39" s="91">
        <f>B39*C39</f>
        <v>0</v>
      </c>
      <c r="E39" s="168"/>
      <c r="F39" s="168"/>
      <c r="G39" s="214"/>
      <c r="H39" s="214"/>
      <c r="I39" s="274"/>
      <c r="J39" s="214"/>
      <c r="K39" s="214"/>
      <c r="L39" s="214"/>
      <c r="M39" s="214"/>
      <c r="N39" s="214"/>
    </row>
    <row r="40" spans="1:19" ht="15.75">
      <c r="A40" s="282"/>
      <c r="B40" s="214"/>
      <c r="C40" s="225"/>
      <c r="D40" s="214"/>
      <c r="E40" s="214"/>
      <c r="F40" s="214"/>
      <c r="G40" s="214"/>
      <c r="H40" s="214"/>
      <c r="I40" s="274"/>
      <c r="J40" s="214"/>
      <c r="K40" s="214"/>
      <c r="L40" s="214"/>
      <c r="M40" s="214"/>
      <c r="N40" s="214"/>
      <c r="O40" s="203"/>
      <c r="P40" s="168"/>
      <c r="Q40" s="168"/>
      <c r="R40" s="168"/>
      <c r="S40" s="168"/>
    </row>
    <row r="41" spans="1:19" ht="15.75">
      <c r="A41" s="282"/>
      <c r="B41" s="168"/>
      <c r="C41" s="204" t="s">
        <v>128</v>
      </c>
      <c r="D41" s="205">
        <f>D39+D34+D31+D36</f>
        <v>0</v>
      </c>
      <c r="E41" s="226" t="e">
        <f>D41/$I$104</f>
        <v>#DIV/0!</v>
      </c>
      <c r="F41" s="91"/>
      <c r="G41" s="214"/>
      <c r="H41" s="214"/>
      <c r="I41" s="274"/>
      <c r="J41" s="214"/>
      <c r="K41" s="214"/>
      <c r="L41" s="214"/>
      <c r="M41" s="214"/>
      <c r="N41" s="214"/>
      <c r="O41" s="203"/>
      <c r="P41" s="168"/>
      <c r="Q41" s="168"/>
      <c r="R41" s="168"/>
      <c r="S41" s="168"/>
    </row>
    <row r="42" spans="1:19" ht="15.75">
      <c r="A42" s="283"/>
      <c r="B42" s="279"/>
      <c r="C42" s="279"/>
      <c r="D42" s="279"/>
      <c r="E42" s="279"/>
      <c r="F42" s="245"/>
      <c r="G42" s="279"/>
      <c r="H42" s="279"/>
      <c r="I42" s="275"/>
      <c r="J42" s="214"/>
      <c r="K42" s="214"/>
      <c r="L42" s="214"/>
      <c r="M42" s="214"/>
      <c r="N42" s="214"/>
      <c r="O42" s="386"/>
      <c r="P42" s="201"/>
      <c r="Q42" s="201"/>
      <c r="R42" s="201"/>
      <c r="S42" s="387"/>
    </row>
    <row r="43" spans="2:19" ht="15.75" thickBot="1">
      <c r="B43" s="18"/>
      <c r="C43" s="18"/>
      <c r="D43" s="18"/>
      <c r="E43" s="18"/>
      <c r="F43" s="18"/>
      <c r="G43" s="44"/>
      <c r="H43" s="214"/>
      <c r="I43" s="214"/>
      <c r="J43" s="482"/>
      <c r="K43" s="482"/>
      <c r="L43" s="214"/>
      <c r="M43" s="214"/>
      <c r="N43" s="214"/>
      <c r="O43" s="168"/>
      <c r="P43" s="168"/>
      <c r="Q43" s="267"/>
      <c r="R43" s="91"/>
      <c r="S43" s="214"/>
    </row>
    <row r="44" spans="1:19" ht="16.5" thickTop="1">
      <c r="A44" s="290" t="s">
        <v>311</v>
      </c>
      <c r="B44" s="377"/>
      <c r="C44" s="377"/>
      <c r="D44" s="377"/>
      <c r="E44" s="377"/>
      <c r="F44" s="377"/>
      <c r="G44" s="377"/>
      <c r="H44" s="377"/>
      <c r="I44" s="278"/>
      <c r="J44"/>
      <c r="K44"/>
      <c r="L44"/>
      <c r="M44" s="214"/>
      <c r="N44" s="214"/>
      <c r="O44" s="204"/>
      <c r="P44" s="203"/>
      <c r="Q44" s="203"/>
      <c r="R44" s="388"/>
      <c r="S44" s="214"/>
    </row>
    <row r="45" spans="6:12" ht="30">
      <c r="F45" s="498"/>
      <c r="G45" s="376"/>
      <c r="H45" s="499" t="s">
        <v>296</v>
      </c>
      <c r="I45" s="500" t="s">
        <v>297</v>
      </c>
      <c r="J45" s="115"/>
      <c r="K45"/>
      <c r="L45"/>
    </row>
    <row r="46" spans="1:12" ht="15.75">
      <c r="A46" s="504"/>
      <c r="B46" s="505" t="s">
        <v>312</v>
      </c>
      <c r="C46" s="564">
        <v>76800</v>
      </c>
      <c r="D46" s="506" t="s">
        <v>294</v>
      </c>
      <c r="F46" s="501" t="s">
        <v>298</v>
      </c>
      <c r="G46" s="485" t="s">
        <v>299</v>
      </c>
      <c r="H46" s="571">
        <v>49</v>
      </c>
      <c r="I46" s="572">
        <v>21</v>
      </c>
      <c r="J46" s="114"/>
      <c r="K46"/>
      <c r="L46"/>
    </row>
    <row r="47" spans="1:12" ht="15.75">
      <c r="A47" s="507"/>
      <c r="B47" s="508"/>
      <c r="C47" s="509">
        <v>1318</v>
      </c>
      <c r="D47" s="510" t="s">
        <v>295</v>
      </c>
      <c r="E47" s="227"/>
      <c r="F47" s="501" t="s">
        <v>300</v>
      </c>
      <c r="G47" s="485" t="s">
        <v>301</v>
      </c>
      <c r="H47" s="571">
        <v>54</v>
      </c>
      <c r="I47" s="572">
        <v>24</v>
      </c>
      <c r="J47" s="114"/>
      <c r="K47"/>
      <c r="L47"/>
    </row>
    <row r="48" spans="5:12" ht="15">
      <c r="E48" s="44"/>
      <c r="F48" s="501" t="s">
        <v>302</v>
      </c>
      <c r="G48" s="485" t="s">
        <v>303</v>
      </c>
      <c r="H48" s="571">
        <v>60</v>
      </c>
      <c r="I48" s="572">
        <v>26</v>
      </c>
      <c r="J48" s="483"/>
      <c r="K48"/>
      <c r="L48"/>
    </row>
    <row r="49" spans="1:12" ht="15">
      <c r="A49" s="92" t="s">
        <v>336</v>
      </c>
      <c r="D49" s="559">
        <v>1</v>
      </c>
      <c r="F49" s="502" t="s">
        <v>304</v>
      </c>
      <c r="G49" s="503" t="s">
        <v>305</v>
      </c>
      <c r="H49" s="573">
        <v>70</v>
      </c>
      <c r="I49" s="574">
        <v>26</v>
      </c>
      <c r="J49" s="487"/>
      <c r="K49"/>
      <c r="L49"/>
    </row>
    <row r="50" spans="5:12" ht="15">
      <c r="E50" s="486"/>
      <c r="F50" s="557"/>
      <c r="G50" s="485"/>
      <c r="H50" s="117"/>
      <c r="I50" s="558"/>
      <c r="J50" s="575"/>
      <c r="K50"/>
      <c r="L50"/>
    </row>
    <row r="51" spans="1:12" ht="15.75">
      <c r="A51" s="528" t="s">
        <v>329</v>
      </c>
      <c r="B51" s="149"/>
      <c r="C51" s="149"/>
      <c r="D51" s="529"/>
      <c r="E51" s="75"/>
      <c r="F51" s="471"/>
      <c r="G51" s="471"/>
      <c r="H51" s="471"/>
      <c r="I51" s="496"/>
      <c r="J51" s="471"/>
      <c r="K51"/>
      <c r="L51"/>
    </row>
    <row r="52" spans="1:12" ht="15.75">
      <c r="A52" s="472"/>
      <c r="B52" s="488" t="s">
        <v>315</v>
      </c>
      <c r="C52" s="489">
        <f>C46*A52</f>
        <v>0</v>
      </c>
      <c r="D52" s="114"/>
      <c r="E52" s="44"/>
      <c r="F52" s="114"/>
      <c r="G52" s="114"/>
      <c r="H52" s="114"/>
      <c r="I52" s="497"/>
      <c r="J52" s="114"/>
      <c r="K52"/>
      <c r="L52"/>
    </row>
    <row r="53" spans="1:12" ht="30">
      <c r="A53" s="114" t="s">
        <v>316</v>
      </c>
      <c r="B53" s="485" t="s">
        <v>306</v>
      </c>
      <c r="C53" s="490" t="s">
        <v>307</v>
      </c>
      <c r="D53" s="44" t="s">
        <v>328</v>
      </c>
      <c r="E53" s="484" t="s">
        <v>308</v>
      </c>
      <c r="F53" s="531" t="s">
        <v>344</v>
      </c>
      <c r="G53" s="483" t="s">
        <v>310</v>
      </c>
      <c r="H53" s="483" t="s">
        <v>313</v>
      </c>
      <c r="I53" s="493" t="s">
        <v>314</v>
      </c>
      <c r="K53"/>
      <c r="L53"/>
    </row>
    <row r="54" spans="1:12" ht="15">
      <c r="A54" s="485" t="s">
        <v>299</v>
      </c>
      <c r="B54" s="485">
        <v>1</v>
      </c>
      <c r="C54" s="491">
        <v>0.6</v>
      </c>
      <c r="D54" s="486">
        <f>$C$52*C54</f>
        <v>0</v>
      </c>
      <c r="E54" s="487">
        <f>ROUNDDOWN(D54*0.3/12,0)</f>
        <v>0</v>
      </c>
      <c r="F54" s="532">
        <f>IF($D$49=1,H46,H46+I46)*-1</f>
        <v>-49</v>
      </c>
      <c r="G54" s="487">
        <f>E54+F54</f>
        <v>-49</v>
      </c>
      <c r="H54" s="511"/>
      <c r="I54" s="495">
        <f>G54*H54*12</f>
        <v>0</v>
      </c>
      <c r="J54" s="92" t="s">
        <v>346</v>
      </c>
      <c r="K54"/>
      <c r="L54"/>
    </row>
    <row r="55" spans="1:12" ht="15">
      <c r="A55" s="485" t="s">
        <v>301</v>
      </c>
      <c r="B55" s="485">
        <v>1.5</v>
      </c>
      <c r="C55" s="491">
        <v>0.75</v>
      </c>
      <c r="D55" s="486">
        <f>$C$52*C55</f>
        <v>0</v>
      </c>
      <c r="E55" s="487">
        <f>ROUNDDOWN(D55*0.3/12,0)</f>
        <v>0</v>
      </c>
      <c r="F55" s="532">
        <f>IF($D$49=1,H47,H47+I47)*-1</f>
        <v>-54</v>
      </c>
      <c r="G55" s="487">
        <f>E55+F55</f>
        <v>-54</v>
      </c>
      <c r="H55" s="511"/>
      <c r="I55" s="495">
        <f>G55*H55*12</f>
        <v>0</v>
      </c>
      <c r="K55"/>
      <c r="L55"/>
    </row>
    <row r="56" spans="1:12" ht="15">
      <c r="A56" s="485" t="s">
        <v>303</v>
      </c>
      <c r="B56" s="485">
        <v>3</v>
      </c>
      <c r="C56" s="491">
        <v>0.9</v>
      </c>
      <c r="D56" s="486">
        <f>$C$52*C56</f>
        <v>0</v>
      </c>
      <c r="E56" s="487">
        <f>ROUNDDOWN(D56*0.3/12,0)</f>
        <v>0</v>
      </c>
      <c r="F56" s="532">
        <f>IF($D$49=1,H48,H48+I48)*-1</f>
        <v>-60</v>
      </c>
      <c r="G56" s="487">
        <f>E56+F56</f>
        <v>-60</v>
      </c>
      <c r="H56" s="511"/>
      <c r="I56" s="495">
        <f>G56*H56*12</f>
        <v>0</v>
      </c>
      <c r="K56"/>
      <c r="L56"/>
    </row>
    <row r="57" spans="1:12" ht="15">
      <c r="A57" s="485" t="s">
        <v>305</v>
      </c>
      <c r="B57" s="485">
        <v>4.5</v>
      </c>
      <c r="C57" s="491">
        <v>1.04</v>
      </c>
      <c r="D57" s="486">
        <f>$C$52*C57</f>
        <v>0</v>
      </c>
      <c r="E57" s="487">
        <f>ROUNDDOWN(D57*0.3/12,0)</f>
        <v>0</v>
      </c>
      <c r="F57" s="532">
        <f>IF($D$49=1,H49,H49+I49)*-1</f>
        <v>-70</v>
      </c>
      <c r="G57" s="487">
        <f>E57+F57</f>
        <v>-70</v>
      </c>
      <c r="H57" s="511"/>
      <c r="I57" s="495">
        <f>G57*H57*12</f>
        <v>0</v>
      </c>
      <c r="K57"/>
      <c r="L57"/>
    </row>
    <row r="58" spans="1:12" ht="15.75">
      <c r="A58" s="44"/>
      <c r="B58" s="114"/>
      <c r="C58" s="114"/>
      <c r="D58" s="114"/>
      <c r="E58" s="44"/>
      <c r="F58" s="114"/>
      <c r="G58" s="137" t="s">
        <v>0</v>
      </c>
      <c r="H58" s="114">
        <f>SUM(H54:H57)</f>
        <v>0</v>
      </c>
      <c r="I58" s="495" t="e">
        <f>SUMPRODUCT(H54:H57,I54:I57)/SUMPRODUCT($E$18:$E$21,H54:H57)</f>
        <v>#DIV/0!</v>
      </c>
      <c r="J58" s="751" t="s">
        <v>650</v>
      </c>
      <c r="K58"/>
      <c r="L58"/>
    </row>
    <row r="59" spans="2:12" ht="15">
      <c r="B59" s="471"/>
      <c r="C59" s="471"/>
      <c r="D59" s="471"/>
      <c r="E59" s="75"/>
      <c r="F59" s="471"/>
      <c r="G59" s="471"/>
      <c r="H59" s="471"/>
      <c r="I59" s="496"/>
      <c r="J59" s="752"/>
      <c r="K59"/>
      <c r="L59"/>
    </row>
    <row r="60" spans="1:12" ht="15.75">
      <c r="A60" s="472"/>
      <c r="B60" s="488" t="s">
        <v>315</v>
      </c>
      <c r="C60" s="489">
        <f>C46*A60</f>
        <v>0</v>
      </c>
      <c r="D60" s="114"/>
      <c r="E60" s="44"/>
      <c r="F60" s="114"/>
      <c r="G60" s="114"/>
      <c r="H60" s="114"/>
      <c r="I60" s="497"/>
      <c r="J60" s="114"/>
      <c r="K60"/>
      <c r="L60"/>
    </row>
    <row r="61" spans="1:12" ht="30">
      <c r="A61" s="114" t="s">
        <v>316</v>
      </c>
      <c r="B61" s="485" t="s">
        <v>306</v>
      </c>
      <c r="C61" s="490" t="s">
        <v>307</v>
      </c>
      <c r="D61" s="44" t="s">
        <v>328</v>
      </c>
      <c r="E61" s="484" t="s">
        <v>308</v>
      </c>
      <c r="F61" s="483" t="s">
        <v>309</v>
      </c>
      <c r="G61" s="483" t="s">
        <v>310</v>
      </c>
      <c r="H61" s="483" t="s">
        <v>313</v>
      </c>
      <c r="I61" s="493" t="s">
        <v>314</v>
      </c>
      <c r="K61"/>
      <c r="L61"/>
    </row>
    <row r="62" spans="1:11" ht="15">
      <c r="A62" s="485" t="s">
        <v>299</v>
      </c>
      <c r="B62" s="485">
        <v>1</v>
      </c>
      <c r="C62" s="491">
        <v>0.6</v>
      </c>
      <c r="D62" s="486">
        <f>$C$60*C62</f>
        <v>0</v>
      </c>
      <c r="E62" s="487">
        <f>ROUNDDOWN(D62*0.3/12,0)</f>
        <v>0</v>
      </c>
      <c r="F62" s="532">
        <f>IF($D$49=1,H46,H46+I46)*-1</f>
        <v>-49</v>
      </c>
      <c r="G62" s="487">
        <f>E62+F62</f>
        <v>-49</v>
      </c>
      <c r="H62" s="511"/>
      <c r="I62" s="495">
        <f>G62*H62*12</f>
        <v>0</v>
      </c>
      <c r="K62"/>
    </row>
    <row r="63" spans="1:12" ht="15">
      <c r="A63" s="485" t="s">
        <v>301</v>
      </c>
      <c r="B63" s="485">
        <v>1.5</v>
      </c>
      <c r="C63" s="491">
        <v>0.75</v>
      </c>
      <c r="D63" s="486">
        <f>$C$60*C63</f>
        <v>0</v>
      </c>
      <c r="E63" s="487">
        <f>ROUNDDOWN(D63*0.3/12,0)</f>
        <v>0</v>
      </c>
      <c r="F63" s="532">
        <f>IF($D$49=1,H47,H47+I47)*-1</f>
        <v>-54</v>
      </c>
      <c r="G63" s="487">
        <f>E63+F63</f>
        <v>-54</v>
      </c>
      <c r="H63" s="511"/>
      <c r="I63" s="495">
        <f>G63*H63*12</f>
        <v>0</v>
      </c>
      <c r="K63"/>
      <c r="L63"/>
    </row>
    <row r="64" spans="1:12" ht="15">
      <c r="A64" s="485" t="s">
        <v>303</v>
      </c>
      <c r="B64" s="485">
        <v>3</v>
      </c>
      <c r="C64" s="491">
        <v>0.9</v>
      </c>
      <c r="D64" s="486">
        <f>$C$60*C64</f>
        <v>0</v>
      </c>
      <c r="E64" s="487">
        <f>ROUNDDOWN(D64*0.3/12,0)</f>
        <v>0</v>
      </c>
      <c r="F64" s="532">
        <f>IF($D$49=1,H48,H48+I48)*-1</f>
        <v>-60</v>
      </c>
      <c r="G64" s="487">
        <f>E64+F64</f>
        <v>-60</v>
      </c>
      <c r="H64" s="511"/>
      <c r="I64" s="495">
        <f>G64*H64*12</f>
        <v>0</v>
      </c>
      <c r="K64"/>
      <c r="L64"/>
    </row>
    <row r="65" spans="1:12" ht="15">
      <c r="A65" s="485" t="s">
        <v>305</v>
      </c>
      <c r="B65" s="485">
        <v>4.5</v>
      </c>
      <c r="C65" s="491">
        <v>1.04</v>
      </c>
      <c r="D65" s="486">
        <f>$C$60*C65</f>
        <v>0</v>
      </c>
      <c r="E65" s="487">
        <f>ROUNDDOWN(D65*0.3/12,0)</f>
        <v>0</v>
      </c>
      <c r="F65" s="532">
        <f>IF($D$49=1,H49,H49+I49)*-1</f>
        <v>-70</v>
      </c>
      <c r="G65" s="487">
        <f>E65+F65</f>
        <v>-70</v>
      </c>
      <c r="H65" s="511"/>
      <c r="I65" s="495">
        <f>G65*H65*12</f>
        <v>0</v>
      </c>
      <c r="K65"/>
      <c r="L65"/>
    </row>
    <row r="66" spans="1:12" ht="15.75">
      <c r="A66" s="44"/>
      <c r="B66" s="114"/>
      <c r="C66" s="114"/>
      <c r="D66" s="114"/>
      <c r="E66" s="44"/>
      <c r="F66" s="114"/>
      <c r="G66" s="137" t="s">
        <v>0</v>
      </c>
      <c r="H66" s="114">
        <f>SUM(H62:H65)</f>
        <v>0</v>
      </c>
      <c r="I66" s="495" t="e">
        <f>SUMPRODUCT(H62:H65,I62:I65)/SUMPRODUCT($E$18:$E$21,H62:H65)</f>
        <v>#DIV/0!</v>
      </c>
      <c r="J66" s="751" t="s">
        <v>650</v>
      </c>
      <c r="K66"/>
      <c r="L66"/>
    </row>
    <row r="67" spans="2:12" ht="15">
      <c r="B67" s="471"/>
      <c r="C67" s="471"/>
      <c r="D67" s="471"/>
      <c r="E67" s="75"/>
      <c r="F67" s="471"/>
      <c r="G67" s="471"/>
      <c r="H67" s="471"/>
      <c r="I67" s="496"/>
      <c r="J67" s="752"/>
      <c r="K67"/>
      <c r="L67"/>
    </row>
    <row r="68" spans="1:12" ht="15.75">
      <c r="A68" s="472"/>
      <c r="B68" s="488" t="s">
        <v>315</v>
      </c>
      <c r="C68" s="489">
        <f>C46*A68</f>
        <v>0</v>
      </c>
      <c r="D68" s="114"/>
      <c r="E68" s="44"/>
      <c r="F68" s="114"/>
      <c r="G68" s="114"/>
      <c r="H68" s="114"/>
      <c r="I68" s="497"/>
      <c r="J68" s="114"/>
      <c r="K68"/>
      <c r="L68"/>
    </row>
    <row r="69" spans="1:12" ht="30">
      <c r="A69" s="114" t="s">
        <v>316</v>
      </c>
      <c r="B69" s="485" t="s">
        <v>306</v>
      </c>
      <c r="C69" s="490" t="s">
        <v>307</v>
      </c>
      <c r="D69" s="44" t="s">
        <v>328</v>
      </c>
      <c r="E69" s="484" t="s">
        <v>308</v>
      </c>
      <c r="F69" s="531" t="s">
        <v>309</v>
      </c>
      <c r="G69" s="483" t="s">
        <v>310</v>
      </c>
      <c r="H69" s="483" t="s">
        <v>313</v>
      </c>
      <c r="I69" s="493" t="s">
        <v>314</v>
      </c>
      <c r="K69"/>
      <c r="L69"/>
    </row>
    <row r="70" spans="1:12" ht="15">
      <c r="A70" s="485" t="s">
        <v>299</v>
      </c>
      <c r="B70" s="485">
        <v>1</v>
      </c>
      <c r="C70" s="491">
        <v>0.6</v>
      </c>
      <c r="D70" s="486">
        <f>$C$68*C70</f>
        <v>0</v>
      </c>
      <c r="E70" s="487">
        <f>ROUNDDOWN(D70*0.3/12,0)</f>
        <v>0</v>
      </c>
      <c r="F70" s="532">
        <f>IF($D$49=1,H46,H46+I46)*-1</f>
        <v>-49</v>
      </c>
      <c r="G70" s="487">
        <f>E70+F70</f>
        <v>-49</v>
      </c>
      <c r="H70" s="511"/>
      <c r="I70" s="495">
        <f>G70*H70*12</f>
        <v>0</v>
      </c>
      <c r="K70"/>
      <c r="L70"/>
    </row>
    <row r="71" spans="1:12" ht="15">
      <c r="A71" s="485" t="s">
        <v>301</v>
      </c>
      <c r="B71" s="485">
        <v>1.5</v>
      </c>
      <c r="C71" s="491">
        <v>0.75</v>
      </c>
      <c r="D71" s="486">
        <f>$C$68*C71</f>
        <v>0</v>
      </c>
      <c r="E71" s="487">
        <f>ROUNDDOWN(D71*0.3/12,0)</f>
        <v>0</v>
      </c>
      <c r="F71" s="532">
        <f>IF($D$49=1,H47,H47+I47)*-1</f>
        <v>-54</v>
      </c>
      <c r="G71" s="487">
        <f>E71+F71</f>
        <v>-54</v>
      </c>
      <c r="H71" s="511"/>
      <c r="I71" s="495">
        <f>G71*H71*12</f>
        <v>0</v>
      </c>
      <c r="K71"/>
      <c r="L71"/>
    </row>
    <row r="72" spans="1:12" ht="15">
      <c r="A72" s="485" t="s">
        <v>303</v>
      </c>
      <c r="B72" s="485">
        <v>3</v>
      </c>
      <c r="C72" s="491">
        <v>0.9</v>
      </c>
      <c r="D72" s="486">
        <f>$C$68*C72</f>
        <v>0</v>
      </c>
      <c r="E72" s="487">
        <f>ROUNDDOWN(D72*0.3/12,0)</f>
        <v>0</v>
      </c>
      <c r="F72" s="532">
        <f>IF($D$49=1,H48,H48+I48)*-1</f>
        <v>-60</v>
      </c>
      <c r="G72" s="487">
        <f>E72+F72</f>
        <v>-60</v>
      </c>
      <c r="H72" s="511"/>
      <c r="I72" s="495">
        <f>G72*H72*12</f>
        <v>0</v>
      </c>
      <c r="K72"/>
      <c r="L72"/>
    </row>
    <row r="73" spans="1:12" ht="15">
      <c r="A73" s="485" t="s">
        <v>305</v>
      </c>
      <c r="B73" s="485">
        <v>4.5</v>
      </c>
      <c r="C73" s="491">
        <v>1.04</v>
      </c>
      <c r="D73" s="486">
        <f>$C$68*C73</f>
        <v>0</v>
      </c>
      <c r="E73" s="487">
        <f>ROUNDDOWN(D73*0.3/12,0)</f>
        <v>0</v>
      </c>
      <c r="F73" s="532">
        <f>IF($D$49=1,H49,H49+I49)*-1</f>
        <v>-70</v>
      </c>
      <c r="G73" s="487">
        <f>E73+F73</f>
        <v>-70</v>
      </c>
      <c r="H73" s="511"/>
      <c r="I73" s="495">
        <f>G73*H73*12</f>
        <v>0</v>
      </c>
      <c r="K73"/>
      <c r="L73"/>
    </row>
    <row r="74" spans="1:12" ht="15.75">
      <c r="A74" s="485"/>
      <c r="B74" s="485"/>
      <c r="C74" s="491"/>
      <c r="D74" s="486"/>
      <c r="E74" s="487"/>
      <c r="F74" s="527"/>
      <c r="G74" s="137" t="s">
        <v>0</v>
      </c>
      <c r="H74" s="114">
        <f>SUM(H70:H73)</f>
        <v>0</v>
      </c>
      <c r="I74" s="495" t="e">
        <f>SUMPRODUCT(H70:H73,I70:I73)/SUMPRODUCT($E$18:$E$21,H70:H73)</f>
        <v>#DIV/0!</v>
      </c>
      <c r="J74" s="751" t="s">
        <v>650</v>
      </c>
      <c r="K74"/>
      <c r="L74"/>
    </row>
    <row r="75" spans="1:12" ht="15">
      <c r="A75" s="44"/>
      <c r="B75" s="114"/>
      <c r="C75" s="114"/>
      <c r="D75" s="114"/>
      <c r="E75" s="44"/>
      <c r="F75" s="114"/>
      <c r="G75" s="114"/>
      <c r="H75" s="214"/>
      <c r="I75" s="497"/>
      <c r="J75" s="752"/>
      <c r="K75"/>
      <c r="L75"/>
    </row>
    <row r="76" spans="1:12" ht="15.75">
      <c r="A76" s="492"/>
      <c r="B76" s="488" t="s">
        <v>315</v>
      </c>
      <c r="C76" s="489">
        <f>C38*A76</f>
        <v>0</v>
      </c>
      <c r="D76" s="114"/>
      <c r="E76" s="44"/>
      <c r="F76" s="114"/>
      <c r="G76" s="114"/>
      <c r="H76" s="114"/>
      <c r="I76" s="497"/>
      <c r="J76" s="114"/>
      <c r="K76"/>
      <c r="L76"/>
    </row>
    <row r="77" spans="1:12" ht="30">
      <c r="A77" s="114" t="s">
        <v>316</v>
      </c>
      <c r="B77" s="485" t="s">
        <v>306</v>
      </c>
      <c r="C77" s="490" t="s">
        <v>307</v>
      </c>
      <c r="D77" s="44" t="s">
        <v>328</v>
      </c>
      <c r="E77" s="484" t="s">
        <v>308</v>
      </c>
      <c r="F77" s="531" t="s">
        <v>309</v>
      </c>
      <c r="G77" s="483" t="s">
        <v>310</v>
      </c>
      <c r="H77" s="483" t="s">
        <v>313</v>
      </c>
      <c r="I77" s="493" t="s">
        <v>314</v>
      </c>
      <c r="K77"/>
      <c r="L77"/>
    </row>
    <row r="78" spans="1:12" ht="15">
      <c r="A78" s="485" t="s">
        <v>299</v>
      </c>
      <c r="B78" s="485">
        <v>1</v>
      </c>
      <c r="C78" s="491">
        <v>0.6</v>
      </c>
      <c r="D78" s="486">
        <f>$C$84*C78</f>
        <v>0</v>
      </c>
      <c r="E78" s="487">
        <f>ROUNDDOWN(D78*0.3/12,0)</f>
        <v>0</v>
      </c>
      <c r="F78" s="532">
        <f>IF($D$49=1,H46,H46+I46)*-1</f>
        <v>-49</v>
      </c>
      <c r="G78" s="487">
        <f>E78+F78</f>
        <v>-49</v>
      </c>
      <c r="H78" s="511"/>
      <c r="I78" s="495">
        <f>G78*H78*12</f>
        <v>0</v>
      </c>
      <c r="K78"/>
      <c r="L78"/>
    </row>
    <row r="79" spans="1:12" ht="15">
      <c r="A79" s="485" t="s">
        <v>301</v>
      </c>
      <c r="B79" s="485">
        <v>1.5</v>
      </c>
      <c r="C79" s="491">
        <v>0.75</v>
      </c>
      <c r="D79" s="486">
        <f>$C$84*C79</f>
        <v>0</v>
      </c>
      <c r="E79" s="487">
        <f>ROUNDDOWN(D79*0.3/12,0)</f>
        <v>0</v>
      </c>
      <c r="F79" s="532">
        <f>IF($D$49=1,H47,H47+I47)*-1</f>
        <v>-54</v>
      </c>
      <c r="G79" s="487">
        <f>E79+F79</f>
        <v>-54</v>
      </c>
      <c r="H79" s="511"/>
      <c r="I79" s="495">
        <f>G79*H79*12</f>
        <v>0</v>
      </c>
      <c r="K79"/>
      <c r="L79"/>
    </row>
    <row r="80" spans="1:12" ht="15">
      <c r="A80" s="485" t="s">
        <v>303</v>
      </c>
      <c r="B80" s="485">
        <v>3</v>
      </c>
      <c r="C80" s="491">
        <v>0.9</v>
      </c>
      <c r="D80" s="486">
        <f>$C$84*C80</f>
        <v>0</v>
      </c>
      <c r="E80" s="487">
        <f>ROUNDDOWN(D80*0.3/12,0)</f>
        <v>0</v>
      </c>
      <c r="F80" s="532">
        <f>IF($D$49=1,H48,H48+I48)*-1</f>
        <v>-60</v>
      </c>
      <c r="G80" s="487">
        <f>E80+F80</f>
        <v>-60</v>
      </c>
      <c r="H80" s="511"/>
      <c r="I80" s="495">
        <f>G80*H80*12</f>
        <v>0</v>
      </c>
      <c r="K80"/>
      <c r="L80"/>
    </row>
    <row r="81" spans="1:12" ht="15">
      <c r="A81" s="485" t="s">
        <v>305</v>
      </c>
      <c r="B81" s="485">
        <v>4.5</v>
      </c>
      <c r="C81" s="491">
        <v>1.04</v>
      </c>
      <c r="D81" s="486">
        <f>$C$84*C81</f>
        <v>0</v>
      </c>
      <c r="E81" s="487">
        <f>ROUNDDOWN(D81*0.3/12,0)</f>
        <v>0</v>
      </c>
      <c r="F81" s="532">
        <f>IF($D$49=1,H49,H49+I49)*-1</f>
        <v>-70</v>
      </c>
      <c r="G81" s="487">
        <f>E81+F81</f>
        <v>-70</v>
      </c>
      <c r="H81" s="511"/>
      <c r="I81" s="495">
        <f>G81*H81*12</f>
        <v>0</v>
      </c>
      <c r="K81"/>
      <c r="L81"/>
    </row>
    <row r="82" spans="1:12" ht="15.75">
      <c r="A82" s="485"/>
      <c r="B82" s="485"/>
      <c r="C82" s="491"/>
      <c r="D82" s="486"/>
      <c r="E82" s="487"/>
      <c r="F82" s="487"/>
      <c r="G82" s="137" t="s">
        <v>0</v>
      </c>
      <c r="H82" s="114">
        <f>SUM(H78:H81)</f>
        <v>0</v>
      </c>
      <c r="I82" s="495" t="e">
        <f>SUMPRODUCT(H78:H81,I78:I81)/SUMPRODUCT($E$18:$E$21,H78:H81)</f>
        <v>#DIV/0!</v>
      </c>
      <c r="J82" s="751" t="s">
        <v>650</v>
      </c>
      <c r="K82"/>
      <c r="L82"/>
    </row>
    <row r="83" spans="2:12" ht="15">
      <c r="B83" s="471"/>
      <c r="C83" s="471"/>
      <c r="D83" s="471"/>
      <c r="E83" s="75"/>
      <c r="F83" s="471"/>
      <c r="G83" s="471"/>
      <c r="H83" s="471"/>
      <c r="I83" s="496"/>
      <c r="J83" s="752"/>
      <c r="K83"/>
      <c r="L83"/>
    </row>
    <row r="84" spans="1:12" ht="15.75">
      <c r="A84" s="492"/>
      <c r="B84" s="488" t="s">
        <v>315</v>
      </c>
      <c r="C84" s="489">
        <f>C46*A84</f>
        <v>0</v>
      </c>
      <c r="D84" s="114"/>
      <c r="E84" s="44"/>
      <c r="F84" s="114"/>
      <c r="G84" s="114"/>
      <c r="H84" s="114"/>
      <c r="I84" s="497"/>
      <c r="J84" s="114"/>
      <c r="K84"/>
      <c r="L84"/>
    </row>
    <row r="85" spans="1:12" ht="30">
      <c r="A85" s="114" t="s">
        <v>316</v>
      </c>
      <c r="B85" s="485" t="s">
        <v>306</v>
      </c>
      <c r="C85" s="490" t="s">
        <v>307</v>
      </c>
      <c r="D85" s="44" t="s">
        <v>328</v>
      </c>
      <c r="E85" s="484" t="s">
        <v>308</v>
      </c>
      <c r="F85" s="531" t="s">
        <v>309</v>
      </c>
      <c r="G85" s="483" t="s">
        <v>310</v>
      </c>
      <c r="H85" s="483" t="s">
        <v>313</v>
      </c>
      <c r="I85" s="493" t="s">
        <v>314</v>
      </c>
      <c r="K85"/>
      <c r="L85"/>
    </row>
    <row r="86" spans="1:12" ht="15">
      <c r="A86" s="485" t="s">
        <v>299</v>
      </c>
      <c r="B86" s="485">
        <v>1</v>
      </c>
      <c r="C86" s="491">
        <v>0.6</v>
      </c>
      <c r="D86" s="486">
        <f>$C$84*C86</f>
        <v>0</v>
      </c>
      <c r="E86" s="487">
        <f>ROUNDDOWN(D86*0.3/12,0)</f>
        <v>0</v>
      </c>
      <c r="F86" s="532">
        <f>IF($D$49=1,H46,H46+I46)*-1</f>
        <v>-49</v>
      </c>
      <c r="G86" s="487">
        <f>E86+F86</f>
        <v>-49</v>
      </c>
      <c r="H86" s="511"/>
      <c r="I86" s="495">
        <f>G86*H86*12</f>
        <v>0</v>
      </c>
      <c r="K86"/>
      <c r="L86"/>
    </row>
    <row r="87" spans="1:12" ht="15">
      <c r="A87" s="485" t="s">
        <v>301</v>
      </c>
      <c r="B87" s="485">
        <v>1.5</v>
      </c>
      <c r="C87" s="491">
        <v>0.75</v>
      </c>
      <c r="D87" s="486">
        <f>$C$84*C87</f>
        <v>0</v>
      </c>
      <c r="E87" s="487">
        <f>ROUNDDOWN(D87*0.3/12,0)</f>
        <v>0</v>
      </c>
      <c r="F87" s="532">
        <f>IF($D$49=1,H47,H47+I47)*-1</f>
        <v>-54</v>
      </c>
      <c r="G87" s="487">
        <f>E87+F87</f>
        <v>-54</v>
      </c>
      <c r="H87" s="511"/>
      <c r="I87" s="495">
        <f>G87*H87*12</f>
        <v>0</v>
      </c>
      <c r="K87"/>
      <c r="L87"/>
    </row>
    <row r="88" spans="1:12" ht="15">
      <c r="A88" s="485" t="s">
        <v>303</v>
      </c>
      <c r="B88" s="485">
        <v>3</v>
      </c>
      <c r="C88" s="491">
        <v>0.9</v>
      </c>
      <c r="D88" s="486">
        <f>$C$84*C88</f>
        <v>0</v>
      </c>
      <c r="E88" s="487">
        <f>ROUNDDOWN(D88*0.3/12,0)</f>
        <v>0</v>
      </c>
      <c r="F88" s="532">
        <f>IF($D$49=1,H48,H48+I48)*-1</f>
        <v>-60</v>
      </c>
      <c r="G88" s="487">
        <f>E88+F88</f>
        <v>-60</v>
      </c>
      <c r="H88" s="511"/>
      <c r="I88" s="495">
        <f>G88*H88*12</f>
        <v>0</v>
      </c>
      <c r="K88"/>
      <c r="L88"/>
    </row>
    <row r="89" spans="1:12" ht="15">
      <c r="A89" s="485" t="s">
        <v>305</v>
      </c>
      <c r="B89" s="485">
        <v>4.5</v>
      </c>
      <c r="C89" s="491">
        <v>1.04</v>
      </c>
      <c r="D89" s="486">
        <f>$C$84*C89</f>
        <v>0</v>
      </c>
      <c r="E89" s="487">
        <f>ROUNDDOWN(D89*0.3/12,0)</f>
        <v>0</v>
      </c>
      <c r="F89" s="532">
        <f>IF($D$49=1,H49,H49+I49)*-1</f>
        <v>-70</v>
      </c>
      <c r="G89" s="487">
        <f>E89+F89</f>
        <v>-70</v>
      </c>
      <c r="H89" s="511"/>
      <c r="I89" s="495">
        <f>G89*H89*12</f>
        <v>0</v>
      </c>
      <c r="K89"/>
      <c r="L89"/>
    </row>
    <row r="90" spans="1:12" ht="15.75">
      <c r="A90" s="485"/>
      <c r="B90" s="485"/>
      <c r="C90" s="491"/>
      <c r="D90" s="486"/>
      <c r="E90" s="487"/>
      <c r="F90" s="487"/>
      <c r="G90" s="137" t="s">
        <v>0</v>
      </c>
      <c r="H90" s="114">
        <f>SUM(H86:H89)</f>
        <v>0</v>
      </c>
      <c r="I90" s="495" t="e">
        <f>SUMPRODUCT(H86:H89,I86:I89)/SUMPRODUCT($E$18:$E$21,H86:H89)</f>
        <v>#DIV/0!</v>
      </c>
      <c r="J90" s="751" t="s">
        <v>650</v>
      </c>
      <c r="K90"/>
      <c r="L90"/>
    </row>
    <row r="91" spans="1:12" ht="15">
      <c r="A91" s="485"/>
      <c r="B91" s="471"/>
      <c r="C91" s="471"/>
      <c r="D91" s="471"/>
      <c r="E91" s="75"/>
      <c r="F91" s="471"/>
      <c r="G91" s="471"/>
      <c r="H91" s="471"/>
      <c r="I91" s="496"/>
      <c r="J91" s="751"/>
      <c r="K91"/>
      <c r="L91"/>
    </row>
    <row r="92" spans="1:12" ht="15.75">
      <c r="A92" s="540" t="s">
        <v>334</v>
      </c>
      <c r="B92" s="488"/>
      <c r="C92" s="489"/>
      <c r="D92" s="114"/>
      <c r="E92" s="44"/>
      <c r="F92" s="114"/>
      <c r="G92" s="114"/>
      <c r="H92" s="114"/>
      <c r="I92" s="497"/>
      <c r="J92" s="752"/>
      <c r="K92"/>
      <c r="L92"/>
    </row>
    <row r="93" spans="1:12" ht="30">
      <c r="A93" s="114" t="s">
        <v>316</v>
      </c>
      <c r="B93" s="485"/>
      <c r="C93" s="490"/>
      <c r="D93" s="44"/>
      <c r="E93" s="484"/>
      <c r="F93" s="483"/>
      <c r="G93" s="483" t="s">
        <v>2</v>
      </c>
      <c r="H93" s="483" t="s">
        <v>313</v>
      </c>
      <c r="I93" s="493" t="s">
        <v>314</v>
      </c>
      <c r="J93" s="114"/>
      <c r="K93"/>
      <c r="L93"/>
    </row>
    <row r="94" spans="1:12" ht="15">
      <c r="A94" s="485" t="s">
        <v>299</v>
      </c>
      <c r="B94" s="543"/>
      <c r="C94" s="544"/>
      <c r="D94" s="545"/>
      <c r="E94" s="546"/>
      <c r="F94" s="546"/>
      <c r="G94" s="511"/>
      <c r="H94" s="511"/>
      <c r="I94" s="495">
        <f>H94*12*G94</f>
        <v>0</v>
      </c>
      <c r="K94"/>
      <c r="L94"/>
    </row>
    <row r="95" spans="1:12" ht="15">
      <c r="A95" s="485" t="s">
        <v>301</v>
      </c>
      <c r="B95" s="543"/>
      <c r="C95" s="544"/>
      <c r="D95" s="545"/>
      <c r="E95" s="546"/>
      <c r="F95" s="546"/>
      <c r="G95" s="511"/>
      <c r="H95" s="511"/>
      <c r="I95" s="495">
        <f>H95*12*G95</f>
        <v>0</v>
      </c>
      <c r="K95"/>
      <c r="L95"/>
    </row>
    <row r="96" spans="1:12" ht="15">
      <c r="A96" s="485" t="s">
        <v>303</v>
      </c>
      <c r="B96" s="543"/>
      <c r="C96" s="544"/>
      <c r="D96" s="545"/>
      <c r="E96" s="546"/>
      <c r="F96" s="546"/>
      <c r="G96" s="511"/>
      <c r="H96" s="511"/>
      <c r="I96" s="495">
        <f>H96*12*G96</f>
        <v>0</v>
      </c>
      <c r="K96"/>
      <c r="L96"/>
    </row>
    <row r="97" spans="1:12" ht="15">
      <c r="A97" s="485" t="s">
        <v>305</v>
      </c>
      <c r="B97" s="543"/>
      <c r="C97" s="544"/>
      <c r="D97" s="545"/>
      <c r="E97" s="546"/>
      <c r="F97" s="546"/>
      <c r="G97" s="511"/>
      <c r="H97" s="511"/>
      <c r="I97" s="495">
        <f>H97*12*G97</f>
        <v>0</v>
      </c>
      <c r="K97"/>
      <c r="L97"/>
    </row>
    <row r="98" spans="1:12" ht="15.75">
      <c r="A98" s="485"/>
      <c r="B98" s="485"/>
      <c r="C98" s="491"/>
      <c r="D98" s="486"/>
      <c r="E98" s="750"/>
      <c r="F98" s="750"/>
      <c r="G98" s="137" t="s">
        <v>0</v>
      </c>
      <c r="H98" s="114">
        <f>SUM(H94:H97)</f>
        <v>0</v>
      </c>
      <c r="I98" s="495" t="e">
        <f>SUMPRODUCT(H94:H97,I94:I97)/SUMPRODUCT($E$18:$E$21,H94:H97)</f>
        <v>#DIV/0!</v>
      </c>
      <c r="J98" s="751" t="s">
        <v>650</v>
      </c>
      <c r="K98"/>
      <c r="L98"/>
    </row>
    <row r="99" spans="1:12" ht="15">
      <c r="A99" s="485"/>
      <c r="B99" s="485"/>
      <c r="C99" s="491"/>
      <c r="D99" s="486"/>
      <c r="E99" s="487"/>
      <c r="F99" s="487"/>
      <c r="G99"/>
      <c r="H99"/>
      <c r="I99" s="495"/>
      <c r="K99"/>
      <c r="L99"/>
    </row>
    <row r="100" spans="4:12" ht="15.75">
      <c r="D100" s="114"/>
      <c r="E100" s="44"/>
      <c r="F100" s="114"/>
      <c r="G100" s="530" t="s">
        <v>317</v>
      </c>
      <c r="H100" s="114">
        <f>SUM(H98,H90,H82,H74,H66,H58)</f>
        <v>0</v>
      </c>
      <c r="I100" s="497"/>
      <c r="J100" s="752"/>
      <c r="K100"/>
      <c r="L100"/>
    </row>
    <row r="101" spans="2:12" ht="15.75">
      <c r="B101" s="749" t="s">
        <v>493</v>
      </c>
      <c r="C101"/>
      <c r="D101" s="114"/>
      <c r="E101" s="44"/>
      <c r="F101" s="114"/>
      <c r="G101" s="530"/>
      <c r="H101" s="114"/>
      <c r="I101" s="497"/>
      <c r="J101" s="114"/>
      <c r="K101"/>
      <c r="L101"/>
    </row>
    <row r="102" spans="2:14" ht="15.75">
      <c r="B102" s="557" t="s">
        <v>492</v>
      </c>
      <c r="C102" s="747"/>
      <c r="D102" s="44"/>
      <c r="E102" s="44"/>
      <c r="F102" s="44"/>
      <c r="G102" s="446"/>
      <c r="H102" s="447" t="s">
        <v>247</v>
      </c>
      <c r="I102" s="541">
        <f>SUM(I54:I57)+SUM(I62:I65)+SUM(I70:I73)+SUM(I86:I89)+SUM(I94:I97)</f>
        <v>0</v>
      </c>
      <c r="K102"/>
      <c r="L102"/>
      <c r="M102" s="214"/>
      <c r="N102" s="214"/>
    </row>
    <row r="103" spans="2:14" ht="15">
      <c r="B103" s="557" t="s">
        <v>491</v>
      </c>
      <c r="C103" s="748"/>
      <c r="D103" s="214"/>
      <c r="E103" s="214"/>
      <c r="F103" s="214"/>
      <c r="G103" s="214"/>
      <c r="H103" s="214"/>
      <c r="I103" s="274"/>
      <c r="K103"/>
      <c r="L103"/>
      <c r="M103" s="214"/>
      <c r="N103" s="214"/>
    </row>
    <row r="104" spans="1:19" ht="15.75">
      <c r="A104" s="378"/>
      <c r="B104" s="378"/>
      <c r="C104" s="378"/>
      <c r="D104" s="378"/>
      <c r="E104" s="279"/>
      <c r="F104" s="245"/>
      <c r="G104" s="279"/>
      <c r="H104" s="494" t="s">
        <v>131</v>
      </c>
      <c r="I104" s="542">
        <f>I102+D41</f>
        <v>0</v>
      </c>
      <c r="K104"/>
      <c r="L104"/>
      <c r="M104" s="214"/>
      <c r="N104" s="214"/>
      <c r="O104" s="168"/>
      <c r="P104" s="168"/>
      <c r="Q104" s="202"/>
      <c r="R104" s="91"/>
      <c r="S104" s="385"/>
    </row>
  </sheetData>
  <sheetProtection/>
  <printOptions/>
  <pageMargins left="0.75" right="0.5" top="0.75" bottom="0.5" header="0.5" footer="0.5"/>
  <pageSetup firstPageNumber="209" useFirstPageNumber="1" fitToHeight="1" fitToWidth="1" horizontalDpi="600" verticalDpi="600" orientation="portrait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5"/>
    <pageSetUpPr fitToPage="1"/>
  </sheetPr>
  <dimension ref="A1:I40"/>
  <sheetViews>
    <sheetView defaultGridColor="0" zoomScale="70" zoomScaleNormal="70" zoomScalePageLayoutView="0" colorId="22" workbookViewId="0" topLeftCell="A1">
      <selection activeCell="A3" sqref="A3"/>
    </sheetView>
  </sheetViews>
  <sheetFormatPr defaultColWidth="9.77734375" defaultRowHeight="15"/>
  <cols>
    <col min="1" max="1" width="26.6640625" style="172" customWidth="1"/>
    <col min="2" max="2" width="11.6640625" style="172" customWidth="1"/>
    <col min="3" max="3" width="14.21484375" style="172" customWidth="1"/>
    <col min="4" max="4" width="9.5546875" style="172" customWidth="1"/>
    <col min="5" max="5" width="13.5546875" style="172" customWidth="1"/>
    <col min="6" max="6" width="18.6640625" style="172" customWidth="1"/>
    <col min="7" max="7" width="9.77734375" style="172" customWidth="1"/>
    <col min="8" max="8" width="12.88671875" style="172" customWidth="1"/>
    <col min="9" max="9" width="13.88671875" style="172" customWidth="1"/>
    <col min="10" max="16384" width="9.77734375" style="172" customWidth="1"/>
  </cols>
  <sheetData>
    <row r="1" spans="1:9" ht="15.75">
      <c r="A1" s="74" t="str">
        <f>'2. Cons Int &amp; Neg Arb'!A1</f>
        <v>Willets Point Phase 1 Development</v>
      </c>
      <c r="B1" s="29"/>
      <c r="D1" s="32"/>
      <c r="E1" s="32"/>
      <c r="F1" s="29"/>
      <c r="G1" s="29"/>
      <c r="H1" s="29"/>
      <c r="I1" s="29"/>
    </row>
    <row r="2" spans="1:9" ht="15.75">
      <c r="A2" s="74" t="str">
        <f>'2. Cons Int &amp; Neg Arb'!A2</f>
        <v>Building 2</v>
      </c>
      <c r="B2" s="29"/>
      <c r="D2" s="32"/>
      <c r="E2" s="112"/>
      <c r="F2" s="29"/>
      <c r="G2" s="29"/>
      <c r="H2" s="29"/>
      <c r="I2" s="29"/>
    </row>
    <row r="3" spans="1:9" ht="15.75">
      <c r="A3" s="74"/>
      <c r="B3" s="29"/>
      <c r="F3" s="29"/>
      <c r="G3" s="29"/>
      <c r="H3" s="29"/>
      <c r="I3" s="29"/>
    </row>
    <row r="4" spans="1:9" ht="15.75">
      <c r="A4" s="350" t="s">
        <v>134</v>
      </c>
      <c r="B4" s="29"/>
      <c r="C4" s="29"/>
      <c r="D4" s="730" t="s">
        <v>232</v>
      </c>
      <c r="E4" s="733">
        <f>'2. Units &amp; Income'!I2</f>
        <v>0</v>
      </c>
      <c r="F4" s="29"/>
      <c r="G4" s="29"/>
      <c r="H4" s="29"/>
      <c r="I4" s="29"/>
    </row>
    <row r="5" spans="2:9" ht="15.75">
      <c r="B5" s="351"/>
      <c r="C5" s="351"/>
      <c r="D5" s="732" t="s">
        <v>484</v>
      </c>
      <c r="E5" s="733">
        <f>'2. Units &amp; Income'!I3</f>
        <v>0</v>
      </c>
      <c r="F5" s="29"/>
      <c r="G5" s="29"/>
      <c r="H5" s="29"/>
      <c r="I5" s="29"/>
    </row>
    <row r="6" spans="1:5" ht="15.75" thickBot="1">
      <c r="A6" s="325"/>
      <c r="B6" s="325"/>
      <c r="C6" s="325"/>
      <c r="D6" s="325"/>
      <c r="E6" s="325"/>
    </row>
    <row r="7" spans="1:6" ht="16.5" thickTop="1">
      <c r="A7" s="359" t="s">
        <v>71</v>
      </c>
      <c r="B7" s="318"/>
      <c r="C7" s="360"/>
      <c r="D7" s="360" t="s">
        <v>65</v>
      </c>
      <c r="E7" s="337"/>
      <c r="F7" s="29"/>
    </row>
    <row r="8" spans="1:6" ht="15">
      <c r="A8" s="316" t="s">
        <v>15</v>
      </c>
      <c r="B8" s="29"/>
      <c r="C8" s="788">
        <f>D8*$E$5</f>
        <v>0</v>
      </c>
      <c r="D8" s="512"/>
      <c r="E8" s="336" t="s">
        <v>16</v>
      </c>
      <c r="F8" s="30"/>
    </row>
    <row r="9" spans="1:6" ht="15">
      <c r="A9" s="316" t="s">
        <v>17</v>
      </c>
      <c r="B9" s="29" t="s">
        <v>79</v>
      </c>
      <c r="C9" s="788">
        <f>D9*E5</f>
        <v>0</v>
      </c>
      <c r="D9" s="513"/>
      <c r="E9" s="336" t="s">
        <v>16</v>
      </c>
      <c r="F9" s="30"/>
    </row>
    <row r="10" spans="1:6" ht="15">
      <c r="A10" s="316" t="s">
        <v>18</v>
      </c>
      <c r="B10" s="29"/>
      <c r="C10" s="788">
        <f>D10*$E$5</f>
        <v>0</v>
      </c>
      <c r="D10" s="513"/>
      <c r="E10" s="336" t="s">
        <v>16</v>
      </c>
      <c r="F10" s="30"/>
    </row>
    <row r="11" spans="1:6" ht="15">
      <c r="A11" s="316" t="s">
        <v>66</v>
      </c>
      <c r="B11" s="29"/>
      <c r="C11" s="788">
        <f>D11*E4</f>
        <v>0</v>
      </c>
      <c r="D11" s="514"/>
      <c r="E11" s="336" t="s">
        <v>107</v>
      </c>
      <c r="F11" s="30"/>
    </row>
    <row r="12" spans="1:6" ht="15">
      <c r="A12" s="316" t="s">
        <v>319</v>
      </c>
      <c r="B12" s="29"/>
      <c r="C12" s="788">
        <f>D12*$E$4</f>
        <v>0</v>
      </c>
      <c r="D12" s="514"/>
      <c r="E12" s="336" t="s">
        <v>19</v>
      </c>
      <c r="F12" s="30"/>
    </row>
    <row r="13" spans="1:6" ht="15">
      <c r="A13" s="316" t="s">
        <v>198</v>
      </c>
      <c r="B13" s="29"/>
      <c r="C13" s="788">
        <f>D13*$E$4</f>
        <v>0</v>
      </c>
      <c r="D13" s="514"/>
      <c r="E13" s="336" t="s">
        <v>19</v>
      </c>
      <c r="F13" s="30"/>
    </row>
    <row r="14" spans="1:6" ht="15">
      <c r="A14" s="316" t="s">
        <v>50</v>
      </c>
      <c r="B14" s="29"/>
      <c r="C14" s="788">
        <f>D14</f>
        <v>0</v>
      </c>
      <c r="D14" s="513"/>
      <c r="E14" s="336" t="s">
        <v>199</v>
      </c>
      <c r="F14" s="30"/>
    </row>
    <row r="15" spans="1:7" ht="15">
      <c r="A15" s="316" t="s">
        <v>20</v>
      </c>
      <c r="B15" s="29"/>
      <c r="C15" s="788">
        <f>D15*$E$5</f>
        <v>0</v>
      </c>
      <c r="D15" s="514"/>
      <c r="E15" s="336" t="s">
        <v>16</v>
      </c>
      <c r="F15" s="30"/>
      <c r="G15" s="353"/>
    </row>
    <row r="16" spans="1:6" ht="15">
      <c r="A16" s="354" t="s">
        <v>21</v>
      </c>
      <c r="B16" s="231"/>
      <c r="C16" s="789">
        <f>C18+C19</f>
        <v>0</v>
      </c>
      <c r="D16" s="599" t="e">
        <f>C16/E4</f>
        <v>#DIV/0!</v>
      </c>
      <c r="E16" s="336" t="s">
        <v>19</v>
      </c>
      <c r="F16" s="30"/>
    </row>
    <row r="17" spans="1:6" ht="15">
      <c r="A17" s="316" t="s">
        <v>22</v>
      </c>
      <c r="B17" s="235"/>
      <c r="E17" s="336"/>
      <c r="F17" s="30"/>
    </row>
    <row r="18" spans="1:6" ht="15">
      <c r="A18" s="355" t="s">
        <v>135</v>
      </c>
      <c r="B18" s="389"/>
      <c r="C18" s="353">
        <f>D18*B18</f>
        <v>0</v>
      </c>
      <c r="D18" s="513"/>
      <c r="E18" s="336" t="s">
        <v>318</v>
      </c>
      <c r="F18" s="30"/>
    </row>
    <row r="19" spans="1:6" ht="15">
      <c r="A19" s="355" t="s">
        <v>104</v>
      </c>
      <c r="B19" s="389"/>
      <c r="C19" s="353">
        <f>D19*B19</f>
        <v>0</v>
      </c>
      <c r="D19" s="513"/>
      <c r="E19" s="336" t="s">
        <v>318</v>
      </c>
      <c r="F19" s="30"/>
    </row>
    <row r="20" spans="1:6" ht="15">
      <c r="A20" s="355"/>
      <c r="B20" s="436"/>
      <c r="E20" s="336"/>
      <c r="F20" s="30"/>
    </row>
    <row r="21" spans="1:6" ht="15">
      <c r="A21" s="354" t="s">
        <v>23</v>
      </c>
      <c r="B21" s="389"/>
      <c r="C21" s="788">
        <f>D21*B21</f>
        <v>0</v>
      </c>
      <c r="D21" s="514"/>
      <c r="E21" s="336" t="s">
        <v>68</v>
      </c>
      <c r="F21" s="30"/>
    </row>
    <row r="22" spans="1:7" ht="15">
      <c r="A22" s="316" t="s">
        <v>24</v>
      </c>
      <c r="B22" s="29"/>
      <c r="C22" s="237">
        <f>D22*'2. Mort'!D11</f>
        <v>0</v>
      </c>
      <c r="D22" s="516"/>
      <c r="E22" s="336" t="s">
        <v>188</v>
      </c>
      <c r="F22" s="30"/>
      <c r="G22" s="29"/>
    </row>
    <row r="23" spans="1:7" ht="15">
      <c r="A23" s="354" t="s">
        <v>25</v>
      </c>
      <c r="B23" s="232"/>
      <c r="C23" s="788">
        <f>D23*$E$5</f>
        <v>0</v>
      </c>
      <c r="D23" s="514"/>
      <c r="E23" s="336" t="s">
        <v>16</v>
      </c>
      <c r="F23" s="30"/>
      <c r="G23" s="29"/>
    </row>
    <row r="24" spans="1:7" ht="15">
      <c r="A24" s="354" t="s">
        <v>26</v>
      </c>
      <c r="B24" s="232"/>
      <c r="C24" s="788">
        <f>D24*$E$4</f>
        <v>0</v>
      </c>
      <c r="D24" s="513"/>
      <c r="E24" s="336" t="s">
        <v>19</v>
      </c>
      <c r="F24" s="30"/>
      <c r="G24" s="29"/>
    </row>
    <row r="25" spans="1:7" ht="15">
      <c r="A25" s="354" t="s">
        <v>495</v>
      </c>
      <c r="B25" s="232"/>
      <c r="C25" s="788">
        <f>D25*$E$4</f>
        <v>0</v>
      </c>
      <c r="D25" s="627">
        <v>200</v>
      </c>
      <c r="E25" s="336" t="s">
        <v>19</v>
      </c>
      <c r="F25" s="30"/>
      <c r="G25" s="29"/>
    </row>
    <row r="26" spans="1:7" ht="15">
      <c r="A26" s="354" t="s">
        <v>320</v>
      </c>
      <c r="B26" s="232"/>
      <c r="C26" s="565">
        <v>0</v>
      </c>
      <c r="D26" s="513"/>
      <c r="E26" s="336"/>
      <c r="F26" s="30"/>
      <c r="G26" s="29"/>
    </row>
    <row r="27" spans="1:7" ht="15">
      <c r="A27" s="354" t="s">
        <v>320</v>
      </c>
      <c r="B27" s="437"/>
      <c r="C27" s="565">
        <v>0</v>
      </c>
      <c r="D27" s="513"/>
      <c r="E27" s="336"/>
      <c r="F27" s="30"/>
      <c r="G27" s="29"/>
    </row>
    <row r="28" spans="1:7" ht="15">
      <c r="A28" s="316" t="s">
        <v>27</v>
      </c>
      <c r="B28" s="128"/>
      <c r="C28" s="788">
        <f>D28*$E$4</f>
        <v>0</v>
      </c>
      <c r="D28" s="513"/>
      <c r="E28" s="336" t="s">
        <v>19</v>
      </c>
      <c r="F28" s="1338" t="s">
        <v>377</v>
      </c>
      <c r="G28" s="29"/>
    </row>
    <row r="29" spans="1:7" ht="15.75">
      <c r="A29" s="356" t="s">
        <v>28</v>
      </c>
      <c r="B29" s="29"/>
      <c r="C29" s="517">
        <f>SUM(C8:C16,C21:C28)</f>
        <v>0</v>
      </c>
      <c r="E29" s="144" t="s">
        <v>0</v>
      </c>
      <c r="F29" s="29"/>
      <c r="G29" s="29"/>
    </row>
    <row r="30" spans="1:7" ht="15.75">
      <c r="A30" s="313"/>
      <c r="D30" s="1336" t="e">
        <f>C29/E5</f>
        <v>#DIV/0!</v>
      </c>
      <c r="E30" s="144" t="s">
        <v>16</v>
      </c>
      <c r="F30" s="127"/>
      <c r="G30" s="30"/>
    </row>
    <row r="31" spans="1:7" ht="15.75">
      <c r="A31" s="357"/>
      <c r="B31" s="29"/>
      <c r="D31" s="1336" t="e">
        <f>C29/E4</f>
        <v>#DIV/0!</v>
      </c>
      <c r="E31" s="144" t="s">
        <v>19</v>
      </c>
      <c r="F31" s="30"/>
      <c r="G31" s="30"/>
    </row>
    <row r="32" spans="1:7" ht="15">
      <c r="A32" s="357"/>
      <c r="B32" s="29"/>
      <c r="C32" s="30"/>
      <c r="D32" s="30"/>
      <c r="E32" s="336"/>
      <c r="F32" s="30"/>
      <c r="G32" s="30"/>
    </row>
    <row r="33" spans="1:7" ht="15">
      <c r="A33" s="316" t="s">
        <v>29</v>
      </c>
      <c r="B33" s="390"/>
      <c r="C33" s="391"/>
      <c r="E33" s="336"/>
      <c r="F33" s="1338" t="s">
        <v>651</v>
      </c>
      <c r="G33" s="30"/>
    </row>
    <row r="34" spans="1:7" ht="15">
      <c r="A34" s="316"/>
      <c r="B34" s="29"/>
      <c r="C34" s="30"/>
      <c r="D34" s="30"/>
      <c r="E34" s="336"/>
      <c r="F34" s="30"/>
      <c r="G34" s="30"/>
    </row>
    <row r="35" spans="1:7" ht="15.75">
      <c r="A35" s="356" t="s">
        <v>136</v>
      </c>
      <c r="B35" s="29"/>
      <c r="C35" s="73">
        <f>Expenses2+C33</f>
        <v>0</v>
      </c>
      <c r="D35" s="30"/>
      <c r="E35" s="336"/>
      <c r="F35" s="30"/>
      <c r="G35" s="30"/>
    </row>
    <row r="36" spans="1:7" ht="15.75">
      <c r="A36" s="358"/>
      <c r="B36" s="29"/>
      <c r="C36" s="1336" t="e">
        <f>C35/E5</f>
        <v>#DIV/0!</v>
      </c>
      <c r="D36" s="74" t="s">
        <v>16</v>
      </c>
      <c r="E36" s="300"/>
      <c r="F36" s="30"/>
      <c r="G36" s="30"/>
    </row>
    <row r="37" spans="1:7" ht="15.75">
      <c r="A37" s="317"/>
      <c r="B37" s="318"/>
      <c r="C37" s="1337" t="e">
        <f>C35/E4</f>
        <v>#DIV/0!</v>
      </c>
      <c r="D37" s="1346" t="s">
        <v>19</v>
      </c>
      <c r="E37" s="364"/>
      <c r="F37" s="30"/>
      <c r="G37" s="30"/>
    </row>
    <row r="38" spans="1:7" ht="15.75">
      <c r="A38" s="29"/>
      <c r="B38" s="29"/>
      <c r="C38" s="73"/>
      <c r="D38" s="73"/>
      <c r="E38" s="74"/>
      <c r="F38" s="30"/>
      <c r="G38" s="30"/>
    </row>
    <row r="39" spans="1:7" ht="15">
      <c r="A39" s="29"/>
      <c r="B39" s="29"/>
      <c r="C39" s="30"/>
      <c r="D39" s="30"/>
      <c r="E39" s="29"/>
      <c r="F39" s="30"/>
      <c r="G39" s="30"/>
    </row>
    <row r="40" spans="1:7" ht="15">
      <c r="A40" s="234"/>
      <c r="B40" s="233"/>
      <c r="C40" s="29"/>
      <c r="D40" s="30"/>
      <c r="E40" s="29"/>
      <c r="F40" s="29"/>
      <c r="G40" s="29"/>
    </row>
  </sheetData>
  <sheetProtection/>
  <printOptions horizontalCentered="1" verticalCentered="1"/>
  <pageMargins left="0.75" right="0.5" top="0.75" bottom="0.5" header="0.5" footer="0.5"/>
  <pageSetup firstPageNumber="210" useFirstPageNumber="1"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5"/>
    <pageSetUpPr fitToPage="1"/>
  </sheetPr>
  <dimension ref="A1:T45"/>
  <sheetViews>
    <sheetView defaultGridColor="0" zoomScale="70" zoomScaleNormal="70" zoomScalePageLayoutView="0" colorId="22" workbookViewId="0" topLeftCell="A1">
      <selection activeCell="A3" sqref="A3"/>
    </sheetView>
  </sheetViews>
  <sheetFormatPr defaultColWidth="9.77734375" defaultRowHeight="15"/>
  <cols>
    <col min="1" max="1" width="29.6640625" style="0" customWidth="1"/>
    <col min="2" max="2" width="11.77734375" style="0" bestFit="1" customWidth="1"/>
    <col min="3" max="3" width="9.77734375" style="0" customWidth="1"/>
    <col min="4" max="4" width="13.10546875" style="0" customWidth="1"/>
    <col min="5" max="5" width="9.77734375" style="0" customWidth="1"/>
    <col min="6" max="7" width="12.6640625" style="0" customWidth="1"/>
    <col min="8" max="8" width="20.88671875" style="0" customWidth="1"/>
    <col min="9" max="9" width="16.88671875" style="0" customWidth="1"/>
    <col min="10" max="10" width="15.6640625" style="0" customWidth="1"/>
    <col min="11" max="11" width="14.88671875" style="0" customWidth="1"/>
    <col min="12" max="12" width="12.6640625" style="0" customWidth="1"/>
    <col min="13" max="13" width="10.77734375" style="0" bestFit="1" customWidth="1"/>
    <col min="14" max="14" width="10.99609375" style="0" bestFit="1" customWidth="1"/>
  </cols>
  <sheetData>
    <row r="1" spans="1:14" ht="15.75">
      <c r="A1" s="1" t="str">
        <f>'2. M and O'!A1</f>
        <v>Willets Point Phase 1 Development</v>
      </c>
      <c r="E1" s="2"/>
      <c r="F1" s="47"/>
      <c r="G1" s="2"/>
      <c r="H1" s="2"/>
      <c r="I1" s="2"/>
      <c r="J1" s="2"/>
      <c r="K1" s="25"/>
      <c r="L1" s="25"/>
      <c r="M1" s="2"/>
      <c r="N1" s="2"/>
    </row>
    <row r="2" spans="1:14" ht="15.75">
      <c r="A2" s="1" t="str">
        <f>'2. M and O'!A2</f>
        <v>Building 2</v>
      </c>
      <c r="B2" s="2"/>
      <c r="E2" s="2"/>
      <c r="F2" s="2"/>
      <c r="G2" s="2"/>
      <c r="H2" s="2"/>
      <c r="I2" s="2"/>
      <c r="J2" s="2"/>
      <c r="K2" s="731" t="str">
        <f>'2. Units &amp; Income'!H2</f>
        <v>Units:</v>
      </c>
      <c r="L2" s="731">
        <f>'2. Units &amp; Income'!I2</f>
        <v>0</v>
      </c>
      <c r="M2" s="2"/>
      <c r="N2" s="2"/>
    </row>
    <row r="3" spans="1:14" ht="15.75">
      <c r="A3" s="1"/>
      <c r="B3" s="2"/>
      <c r="C3" s="2"/>
      <c r="D3" s="2"/>
      <c r="E3" s="2"/>
      <c r="F3" s="2"/>
      <c r="G3" s="2"/>
      <c r="H3" s="2"/>
      <c r="I3" s="2"/>
      <c r="J3" s="2"/>
      <c r="K3" s="731" t="str">
        <f>'2. Units &amp; Income'!H3</f>
        <v>Rooms:</v>
      </c>
      <c r="L3" s="731">
        <f>'2. Units &amp; Income'!I3</f>
        <v>0</v>
      </c>
      <c r="M3" s="2"/>
      <c r="N3" s="2"/>
    </row>
    <row r="4" spans="2:14" ht="15">
      <c r="B4" s="2"/>
      <c r="C4" s="2"/>
      <c r="D4" s="2"/>
      <c r="E4" s="2"/>
      <c r="F4" s="109" t="s">
        <v>31</v>
      </c>
      <c r="G4" s="2"/>
      <c r="H4" s="4"/>
      <c r="I4" s="4"/>
      <c r="J4" s="4"/>
      <c r="K4" s="15"/>
      <c r="L4" s="2"/>
      <c r="M4" s="2"/>
      <c r="N4" s="2"/>
    </row>
    <row r="5" spans="1:14" ht="15.75">
      <c r="A5" s="31" t="s">
        <v>209</v>
      </c>
      <c r="B5" s="2"/>
      <c r="C5" s="2"/>
      <c r="D5" s="2"/>
      <c r="E5" s="2"/>
      <c r="F5" s="109" t="s">
        <v>166</v>
      </c>
      <c r="G5" s="2"/>
      <c r="H5" s="2"/>
      <c r="I5" s="2"/>
      <c r="J5" s="2"/>
      <c r="K5" s="4"/>
      <c r="L5" s="15"/>
      <c r="M5" s="15"/>
      <c r="N5" s="15"/>
    </row>
    <row r="6" spans="1:14" ht="16.5" thickBot="1">
      <c r="A6" s="321"/>
      <c r="B6" s="322"/>
      <c r="C6" s="322"/>
      <c r="D6" s="322"/>
      <c r="E6" s="320"/>
      <c r="F6" s="324"/>
      <c r="G6" s="324"/>
      <c r="H6" s="324"/>
      <c r="I6" s="324"/>
      <c r="J6" s="324"/>
      <c r="K6" s="325"/>
      <c r="L6" s="325"/>
      <c r="M6" s="4"/>
      <c r="N6" s="4"/>
    </row>
    <row r="7" spans="1:14" ht="16.5" thickTop="1">
      <c r="A7" s="36"/>
      <c r="B7" s="19"/>
      <c r="C7" s="19"/>
      <c r="D7" s="295"/>
      <c r="E7" s="331"/>
      <c r="F7" s="219" t="s">
        <v>210</v>
      </c>
      <c r="G7" s="219"/>
      <c r="H7" s="379"/>
      <c r="I7" s="440" t="s">
        <v>170</v>
      </c>
      <c r="J7" s="323"/>
      <c r="K7" s="153"/>
      <c r="L7" s="326"/>
      <c r="M7" s="2"/>
      <c r="N7" s="2"/>
    </row>
    <row r="8" spans="1:14" ht="15.75">
      <c r="A8" s="304" t="s">
        <v>167</v>
      </c>
      <c r="B8" s="17"/>
      <c r="C8" s="17"/>
      <c r="D8" s="14"/>
      <c r="E8" s="331"/>
      <c r="F8" s="214"/>
      <c r="G8" s="173"/>
      <c r="H8" s="367"/>
      <c r="I8" s="441"/>
      <c r="J8" s="153"/>
      <c r="K8" s="154" t="s">
        <v>245</v>
      </c>
      <c r="L8" s="327"/>
      <c r="M8" s="2"/>
      <c r="N8" s="2"/>
    </row>
    <row r="9" spans="1:14" ht="15">
      <c r="A9" s="305" t="s">
        <v>129</v>
      </c>
      <c r="B9" s="303"/>
      <c r="C9" s="17"/>
      <c r="D9" s="14">
        <f>'2. Units &amp; Income'!I102</f>
        <v>0</v>
      </c>
      <c r="E9" s="28"/>
      <c r="F9" s="214" t="s">
        <v>211</v>
      </c>
      <c r="G9" s="173"/>
      <c r="H9" s="449"/>
      <c r="I9" s="441"/>
      <c r="J9" s="155" t="s">
        <v>217</v>
      </c>
      <c r="K9" s="451"/>
      <c r="L9" s="328"/>
      <c r="M9" s="2"/>
      <c r="N9" s="2"/>
    </row>
    <row r="10" spans="1:13" ht="15">
      <c r="A10" s="362" t="s">
        <v>159</v>
      </c>
      <c r="B10" s="346"/>
      <c r="C10" s="22"/>
      <c r="D10" s="14">
        <f>B10*-D9</f>
        <v>0</v>
      </c>
      <c r="E10" s="28"/>
      <c r="F10" s="330" t="s">
        <v>212</v>
      </c>
      <c r="G10" s="174"/>
      <c r="H10" s="449"/>
      <c r="I10" s="442"/>
      <c r="J10" s="155" t="s">
        <v>291</v>
      </c>
      <c r="K10" s="451"/>
      <c r="L10" s="328"/>
      <c r="M10" s="2"/>
    </row>
    <row r="11" spans="1:13" ht="15">
      <c r="A11" s="307" t="s">
        <v>32</v>
      </c>
      <c r="B11" s="123"/>
      <c r="C11" s="123"/>
      <c r="D11" s="296">
        <f>D9+D10</f>
        <v>0</v>
      </c>
      <c r="E11" s="28"/>
      <c r="F11" s="214" t="s">
        <v>213</v>
      </c>
      <c r="G11" s="173"/>
      <c r="H11" s="450"/>
      <c r="I11" s="442"/>
      <c r="J11" s="157" t="s">
        <v>33</v>
      </c>
      <c r="K11" s="451"/>
      <c r="L11" s="328"/>
      <c r="M11" s="2"/>
    </row>
    <row r="12" spans="1:13" ht="15">
      <c r="A12" s="308"/>
      <c r="B12" s="44"/>
      <c r="C12" s="44"/>
      <c r="D12" s="297"/>
      <c r="E12" s="28"/>
      <c r="F12" s="214" t="s">
        <v>214</v>
      </c>
      <c r="G12" s="173"/>
      <c r="H12" s="449"/>
      <c r="I12" s="442"/>
      <c r="J12" s="155" t="s">
        <v>34</v>
      </c>
      <c r="K12" s="156">
        <f>SUM(K9:K11)</f>
        <v>0</v>
      </c>
      <c r="L12" s="328"/>
      <c r="M12" s="2"/>
    </row>
    <row r="13" spans="1:16" ht="15">
      <c r="A13" s="305" t="s">
        <v>109</v>
      </c>
      <c r="B13" s="22"/>
      <c r="C13" s="22"/>
      <c r="D13" s="14">
        <f>'2. Units &amp; Income'!D31</f>
        <v>0</v>
      </c>
      <c r="E13" s="28"/>
      <c r="F13" s="214" t="s">
        <v>215</v>
      </c>
      <c r="G13" s="173"/>
      <c r="H13" s="449"/>
      <c r="I13" s="442"/>
      <c r="J13" s="158"/>
      <c r="K13" s="159"/>
      <c r="L13" s="329"/>
      <c r="M13" s="2"/>
      <c r="P13" s="172"/>
    </row>
    <row r="14" spans="1:13" ht="15">
      <c r="A14" s="305" t="s">
        <v>160</v>
      </c>
      <c r="B14" s="22"/>
      <c r="C14" s="22"/>
      <c r="D14" s="14">
        <f>'2. Units &amp; Income'!D34</f>
        <v>0</v>
      </c>
      <c r="E14" s="28"/>
      <c r="F14" s="282" t="s">
        <v>216</v>
      </c>
      <c r="G14" s="186"/>
      <c r="H14" s="450"/>
      <c r="I14" s="442"/>
      <c r="J14" s="152"/>
      <c r="K14" s="153"/>
      <c r="L14" s="329"/>
      <c r="M14" s="2"/>
    </row>
    <row r="15" spans="1:14" ht="15">
      <c r="A15" s="305" t="s">
        <v>161</v>
      </c>
      <c r="B15" s="22"/>
      <c r="C15" s="22"/>
      <c r="D15" s="14">
        <f>'2. Units &amp; Income'!D36</f>
        <v>0</v>
      </c>
      <c r="E15" s="28"/>
      <c r="F15" s="366"/>
      <c r="G15" s="129"/>
      <c r="H15" s="452">
        <f>SUM(H9:H14)</f>
        <v>0</v>
      </c>
      <c r="I15" s="443"/>
      <c r="J15" s="129"/>
      <c r="K15" s="363"/>
      <c r="L15" s="336"/>
      <c r="M15" s="2"/>
      <c r="N15" s="2"/>
    </row>
    <row r="16" spans="1:16" ht="15">
      <c r="A16" s="305" t="s">
        <v>35</v>
      </c>
      <c r="B16" s="22"/>
      <c r="C16" s="22"/>
      <c r="D16" s="14">
        <f>'2. Units &amp; Income'!D39</f>
        <v>0</v>
      </c>
      <c r="E16" s="18"/>
      <c r="F16" s="365"/>
      <c r="G16" s="235"/>
      <c r="H16" s="235"/>
      <c r="I16" s="444"/>
      <c r="J16" s="235"/>
      <c r="K16" s="235"/>
      <c r="L16" s="364"/>
      <c r="M16" s="2"/>
      <c r="N16" s="2"/>
      <c r="P16" s="172"/>
    </row>
    <row r="17" spans="1:14" ht="15.75" thickBot="1">
      <c r="A17" s="306" t="s">
        <v>162</v>
      </c>
      <c r="B17" s="346"/>
      <c r="C17" s="22"/>
      <c r="D17" s="14">
        <f>-(D13*B17)</f>
        <v>0</v>
      </c>
      <c r="E17" s="18"/>
      <c r="F17" s="324"/>
      <c r="G17" s="324"/>
      <c r="H17" s="324"/>
      <c r="I17" s="324"/>
      <c r="J17" s="324"/>
      <c r="K17" s="338"/>
      <c r="L17" s="339"/>
      <c r="M17" s="2"/>
      <c r="N17" s="2"/>
    </row>
    <row r="18" spans="1:12" ht="15.75" thickTop="1">
      <c r="A18" s="306" t="s">
        <v>164</v>
      </c>
      <c r="B18" s="345"/>
      <c r="C18" s="20"/>
      <c r="D18" s="14">
        <f>-(D14*B18)</f>
        <v>0</v>
      </c>
      <c r="E18" s="332"/>
      <c r="F18" s="18"/>
      <c r="H18" s="3"/>
      <c r="I18" s="368"/>
      <c r="J18" s="2"/>
      <c r="K18" s="2"/>
      <c r="L18" s="336"/>
    </row>
    <row r="19" spans="1:12" ht="15">
      <c r="A19" s="309" t="s">
        <v>169</v>
      </c>
      <c r="B19" s="345"/>
      <c r="D19" s="14">
        <f>-(D15*B19)</f>
        <v>0</v>
      </c>
      <c r="E19" s="332"/>
      <c r="F19" s="18"/>
      <c r="H19" s="6"/>
      <c r="I19" s="369"/>
      <c r="J19" s="9"/>
      <c r="K19" s="4"/>
      <c r="L19" s="336"/>
    </row>
    <row r="20" spans="1:12" ht="15">
      <c r="A20" s="306" t="s">
        <v>163</v>
      </c>
      <c r="B20" s="345"/>
      <c r="C20" s="44"/>
      <c r="D20" s="14">
        <f>-(D16*B20)</f>
        <v>0</v>
      </c>
      <c r="E20" s="332"/>
      <c r="F20" s="18"/>
      <c r="I20" s="371"/>
      <c r="J20" s="2"/>
      <c r="K20" s="2"/>
      <c r="L20" s="336"/>
    </row>
    <row r="21" spans="1:12" ht="15">
      <c r="A21" s="310" t="s">
        <v>165</v>
      </c>
      <c r="B21" s="122"/>
      <c r="C21" s="122"/>
      <c r="D21" s="296">
        <f>SUM(D13:D20)</f>
        <v>0</v>
      </c>
      <c r="E21" s="332"/>
      <c r="F21" s="18"/>
      <c r="H21" s="3" t="s">
        <v>36</v>
      </c>
      <c r="I21" s="374"/>
      <c r="J21" s="2" t="s">
        <v>337</v>
      </c>
      <c r="K21" s="2"/>
      <c r="L21" s="336"/>
    </row>
    <row r="22" spans="1:12" ht="15.75">
      <c r="A22" s="311" t="s">
        <v>168</v>
      </c>
      <c r="B22" s="121"/>
      <c r="C22" s="121"/>
      <c r="D22" s="298">
        <f>D11+D21</f>
        <v>0</v>
      </c>
      <c r="E22" s="332"/>
      <c r="F22" s="18"/>
      <c r="H22" s="3" t="s">
        <v>293</v>
      </c>
      <c r="I22" s="368">
        <f>SECOND2</f>
        <v>0</v>
      </c>
      <c r="L22" s="300"/>
    </row>
    <row r="23" spans="1:12" ht="15">
      <c r="A23" s="312"/>
      <c r="B23" s="22"/>
      <c r="C23" s="22"/>
      <c r="D23" s="14"/>
      <c r="E23" s="332"/>
      <c r="F23" s="18"/>
      <c r="G23" s="131"/>
      <c r="H23" s="3" t="s">
        <v>238</v>
      </c>
      <c r="I23" s="371">
        <f>J29</f>
        <v>0</v>
      </c>
      <c r="J23" s="2"/>
      <c r="K23" s="2"/>
      <c r="L23" s="336"/>
    </row>
    <row r="24" spans="1:12" ht="15.75">
      <c r="A24" s="304" t="s">
        <v>71</v>
      </c>
      <c r="B24" s="22"/>
      <c r="C24" s="22"/>
      <c r="D24" s="14"/>
      <c r="E24" s="332"/>
      <c r="F24" s="18"/>
      <c r="H24" s="124" t="s">
        <v>239</v>
      </c>
      <c r="I24" s="371">
        <f>K29</f>
        <v>0</v>
      </c>
      <c r="J24" s="2"/>
      <c r="K24" s="2"/>
      <c r="L24" s="336"/>
    </row>
    <row r="25" spans="1:12" ht="15">
      <c r="A25" s="305" t="s">
        <v>40</v>
      </c>
      <c r="B25" s="21" t="e">
        <f>D25/'2. Units &amp; Income'!B24</f>
        <v>#DIV/0!</v>
      </c>
      <c r="C25" s="21" t="s">
        <v>19</v>
      </c>
      <c r="D25" s="14">
        <f>'2. M and O'!C29-'2. M and O'!C28</f>
        <v>0</v>
      </c>
      <c r="E25" s="332"/>
      <c r="F25" s="66"/>
      <c r="G25" s="318"/>
      <c r="H25" s="334" t="s">
        <v>37</v>
      </c>
      <c r="I25" s="434">
        <f>I21+I22+I23+I24</f>
        <v>0</v>
      </c>
      <c r="J25" s="318"/>
      <c r="K25" s="318"/>
      <c r="L25" s="337"/>
    </row>
    <row r="26" spans="1:20" ht="15.75" thickBot="1">
      <c r="A26" s="305" t="s">
        <v>41</v>
      </c>
      <c r="B26" s="21" t="e">
        <f>D26/'2. Units &amp; Income'!B24</f>
        <v>#DIV/0!</v>
      </c>
      <c r="C26" s="21" t="s">
        <v>19</v>
      </c>
      <c r="D26" s="14">
        <f>'2. M and O'!C33</f>
        <v>0</v>
      </c>
      <c r="F26" s="340"/>
      <c r="G26" s="341"/>
      <c r="H26" s="341"/>
      <c r="I26" s="341"/>
      <c r="J26" s="341"/>
      <c r="K26" s="341"/>
      <c r="L26" s="341"/>
      <c r="M26" s="153"/>
      <c r="N26" s="153"/>
      <c r="O26" s="153"/>
      <c r="P26" s="153"/>
      <c r="Q26" s="153"/>
      <c r="R26" s="153"/>
      <c r="S26" s="153"/>
      <c r="T26" s="153"/>
    </row>
    <row r="27" spans="1:20" ht="15.75" thickTop="1">
      <c r="A27" s="305" t="s">
        <v>43</v>
      </c>
      <c r="B27" s="21" t="e">
        <f>D27/'2. Units &amp; Income'!B24</f>
        <v>#DIV/0!</v>
      </c>
      <c r="C27" s="17" t="s">
        <v>19</v>
      </c>
      <c r="D27" s="14">
        <f>'2. M and O'!C28</f>
        <v>0</v>
      </c>
      <c r="E27" s="332"/>
      <c r="H27" s="1277"/>
      <c r="I27" s="1277"/>
      <c r="J27" s="1277"/>
      <c r="L27" s="1288"/>
      <c r="M27" s="153"/>
      <c r="N27" s="153"/>
      <c r="O27" s="153"/>
      <c r="P27" s="153"/>
      <c r="Q27" s="153"/>
      <c r="R27" s="153"/>
      <c r="S27" s="153"/>
      <c r="T27" s="153"/>
    </row>
    <row r="28" spans="1:20" ht="15.75">
      <c r="A28" s="311" t="s">
        <v>30</v>
      </c>
      <c r="B28" s="7" t="e">
        <f>SUM(B25:B27)</f>
        <v>#DIV/0!</v>
      </c>
      <c r="C28" s="16" t="s">
        <v>19</v>
      </c>
      <c r="D28" s="299">
        <f>SUM(D25:D27)</f>
        <v>0</v>
      </c>
      <c r="E28" s="332"/>
      <c r="F28" s="316"/>
      <c r="G28" s="29"/>
      <c r="H28" s="349" t="s">
        <v>38</v>
      </c>
      <c r="I28" s="392" t="s">
        <v>39</v>
      </c>
      <c r="J28" s="393" t="s">
        <v>240</v>
      </c>
      <c r="K28" s="395" t="s">
        <v>241</v>
      </c>
      <c r="L28" s="1289" t="s">
        <v>0</v>
      </c>
      <c r="M28" s="172"/>
      <c r="O28" s="153"/>
      <c r="P28" s="153"/>
      <c r="Q28" s="153"/>
      <c r="R28" s="153"/>
      <c r="S28" s="153"/>
      <c r="T28" s="153"/>
    </row>
    <row r="29" spans="1:13" ht="15">
      <c r="A29" s="313"/>
      <c r="D29" s="300"/>
      <c r="E29" s="332"/>
      <c r="F29" s="29"/>
      <c r="G29" s="29"/>
      <c r="H29" s="598" t="e">
        <f>ROUND(MIN('2. Devel. Bud'!D79*90%,-PV(H30/12,H31*12,H35/12,H33)),-4)-H27</f>
        <v>#DIV/0!</v>
      </c>
      <c r="I29" s="577">
        <f>H40*('2. Units &amp; Income'!B24-SUM('2. Units &amp; Income'!H94:H97))</f>
        <v>0</v>
      </c>
      <c r="J29" s="578">
        <f>H41*('2. Units &amp; Income'!B24-SUM('2. Units &amp; Income'!H94:H97))</f>
        <v>0</v>
      </c>
      <c r="K29" s="579">
        <f>H42*('2. Units &amp; Income'!B24-SUM('2. Units &amp; Income'!H94:H97))</f>
        <v>0</v>
      </c>
      <c r="L29" s="302" t="e">
        <f>I29+H29+J29+K29</f>
        <v>#DIV/0!</v>
      </c>
      <c r="M29" s="172"/>
    </row>
    <row r="30" spans="1:13" ht="15">
      <c r="A30" s="313"/>
      <c r="D30" s="300"/>
      <c r="E30" s="332"/>
      <c r="F30" s="172"/>
      <c r="G30" s="126" t="s">
        <v>155</v>
      </c>
      <c r="H30" s="394">
        <f>K12</f>
        <v>0</v>
      </c>
      <c r="I30" s="375"/>
      <c r="J30" s="375"/>
      <c r="K30" s="375"/>
      <c r="L30" s="300"/>
      <c r="M30" s="172"/>
    </row>
    <row r="31" spans="1:13" ht="15.75">
      <c r="A31" s="304" t="s">
        <v>44</v>
      </c>
      <c r="B31" s="16"/>
      <c r="C31" s="16"/>
      <c r="D31" s="299">
        <f>D22-D28</f>
        <v>0</v>
      </c>
      <c r="E31" s="332"/>
      <c r="F31" s="29"/>
      <c r="G31" s="372" t="s">
        <v>42</v>
      </c>
      <c r="H31" s="373"/>
      <c r="I31" s="373"/>
      <c r="J31" s="374"/>
      <c r="K31" s="374"/>
      <c r="L31" s="302"/>
      <c r="M31" s="172"/>
    </row>
    <row r="32" spans="1:14" ht="15">
      <c r="A32" s="313"/>
      <c r="D32" s="300"/>
      <c r="E32" s="332"/>
      <c r="F32" s="125" t="s">
        <v>174</v>
      </c>
      <c r="G32" s="125" t="s">
        <v>171</v>
      </c>
      <c r="H32" s="30" t="e">
        <f>H29-H3</f>
        <v>#DIV/0!</v>
      </c>
      <c r="I32" s="30">
        <f>SECOND2-I33</f>
        <v>0</v>
      </c>
      <c r="J32" s="30">
        <f>J29-J33</f>
        <v>0</v>
      </c>
      <c r="K32" s="30">
        <v>0</v>
      </c>
      <c r="L32" s="1290"/>
      <c r="M32" s="172"/>
      <c r="N32" s="548"/>
    </row>
    <row r="33" spans="1:13" ht="15">
      <c r="A33" s="312"/>
      <c r="B33" s="17"/>
      <c r="C33" s="17"/>
      <c r="D33" s="14"/>
      <c r="E33" s="332"/>
      <c r="F33" s="29"/>
      <c r="G33" s="125" t="s">
        <v>45</v>
      </c>
      <c r="H33" s="30">
        <v>0</v>
      </c>
      <c r="I33" s="30">
        <f>-FV(I30/12,I31*12,-(I35/12),SECOND2)</f>
        <v>0</v>
      </c>
      <c r="J33" s="30">
        <f>J29</f>
        <v>0</v>
      </c>
      <c r="K33" s="30">
        <v>0</v>
      </c>
      <c r="L33" s="1290"/>
      <c r="M33" s="172"/>
    </row>
    <row r="34" spans="1:13" ht="15">
      <c r="A34" s="312" t="s">
        <v>46</v>
      </c>
      <c r="B34" s="17"/>
      <c r="C34" s="17"/>
      <c r="D34" s="14">
        <f>(+D22/1.05)-(D28)</f>
        <v>0</v>
      </c>
      <c r="E34" s="332"/>
      <c r="F34" s="172"/>
      <c r="G34" s="125" t="s">
        <v>172</v>
      </c>
      <c r="H34" s="128" t="e">
        <f>H33/FIRST2</f>
        <v>#DIV/0!</v>
      </c>
      <c r="I34" s="128">
        <v>1</v>
      </c>
      <c r="J34" s="128" t="e">
        <f>J33/J29</f>
        <v>#DIV/0!</v>
      </c>
      <c r="K34" s="236">
        <v>0</v>
      </c>
      <c r="L34" s="300"/>
      <c r="M34" s="353"/>
    </row>
    <row r="35" spans="1:13" ht="15">
      <c r="A35" s="567" t="s">
        <v>342</v>
      </c>
      <c r="B35" s="235"/>
      <c r="D35" s="300"/>
      <c r="E35" s="332"/>
      <c r="F35" s="129"/>
      <c r="G35" s="125" t="s">
        <v>47</v>
      </c>
      <c r="H35" s="213" t="e">
        <f>D36-I35-J35</f>
        <v>#DIV/0!</v>
      </c>
      <c r="I35" s="213">
        <f>SECOND2*I30</f>
        <v>0</v>
      </c>
      <c r="J35" s="213">
        <f>+J29*J30</f>
        <v>0</v>
      </c>
      <c r="K35" s="213">
        <f>K30*K29</f>
        <v>0</v>
      </c>
      <c r="L35" s="1291" t="e">
        <f>SUM(H35:J35)</f>
        <v>#DIV/0!</v>
      </c>
      <c r="M35" s="1287"/>
    </row>
    <row r="36" spans="1:13" ht="15">
      <c r="A36" s="331" t="s">
        <v>69</v>
      </c>
      <c r="B36" s="347"/>
      <c r="D36" s="14" t="e">
        <f>NOI2/B36</f>
        <v>#DIV/0!</v>
      </c>
      <c r="E36" s="332"/>
      <c r="F36" s="333"/>
      <c r="G36" s="334" t="s">
        <v>173</v>
      </c>
      <c r="H36" s="335" t="e">
        <f>NOI2/H35</f>
        <v>#DIV/0!</v>
      </c>
      <c r="I36" s="335" t="e">
        <f>NOI2/(I35+H35)</f>
        <v>#DIV/0!</v>
      </c>
      <c r="J36" s="335" t="e">
        <f>NOI2/(J35+I35+H35)</f>
        <v>#DIV/0!</v>
      </c>
      <c r="K36" s="235"/>
      <c r="L36" s="1292" t="e">
        <f>NOI2/L35</f>
        <v>#DIV/0!</v>
      </c>
      <c r="M36" s="172"/>
    </row>
    <row r="37" spans="1:12" ht="15">
      <c r="A37" s="314" t="s">
        <v>80</v>
      </c>
      <c r="D37" s="301" t="e">
        <f>D22/(D28+D36)</f>
        <v>#DIV/0!</v>
      </c>
      <c r="E37" s="18"/>
      <c r="L37" s="2"/>
    </row>
    <row r="38" spans="1:14" ht="15">
      <c r="A38" s="568" t="s">
        <v>343</v>
      </c>
      <c r="B38" s="235"/>
      <c r="D38" s="300"/>
      <c r="E38" s="18"/>
      <c r="J38" s="33"/>
      <c r="L38" s="5"/>
      <c r="M38" s="2"/>
      <c r="N38" s="2"/>
    </row>
    <row r="39" spans="1:14" ht="15.75">
      <c r="A39" s="331" t="s">
        <v>69</v>
      </c>
      <c r="B39" s="348"/>
      <c r="D39" s="14" t="e">
        <f>D31/B39</f>
        <v>#DIV/0!</v>
      </c>
      <c r="E39" s="18"/>
      <c r="G39" s="342" t="s">
        <v>200</v>
      </c>
      <c r="H39" s="29"/>
      <c r="I39" s="127"/>
      <c r="J39" s="127"/>
      <c r="K39" s="30"/>
      <c r="L39" s="2"/>
      <c r="M39" s="2"/>
      <c r="N39" s="5"/>
    </row>
    <row r="40" spans="1:14" ht="15">
      <c r="A40" s="315" t="s">
        <v>80</v>
      </c>
      <c r="B40" s="18"/>
      <c r="C40" s="18"/>
      <c r="D40" s="301" t="e">
        <f>D22/(D28+D39)</f>
        <v>#DIV/0!</v>
      </c>
      <c r="E40" s="18"/>
      <c r="F40" s="392" t="s">
        <v>39</v>
      </c>
      <c r="G40" s="29" t="s">
        <v>283</v>
      </c>
      <c r="H40" s="344"/>
      <c r="I40" s="130" t="s">
        <v>48</v>
      </c>
      <c r="J40" s="127"/>
      <c r="K40" s="30"/>
      <c r="L40" s="2"/>
      <c r="M40" s="2"/>
      <c r="N40" s="5"/>
    </row>
    <row r="41" spans="1:14" ht="15">
      <c r="A41" s="316"/>
      <c r="B41" s="2"/>
      <c r="C41" s="2"/>
      <c r="D41" s="302"/>
      <c r="E41" s="2"/>
      <c r="F41" s="393" t="s">
        <v>240</v>
      </c>
      <c r="G41" s="2" t="s">
        <v>283</v>
      </c>
      <c r="H41" s="343"/>
      <c r="I41" s="130" t="s">
        <v>48</v>
      </c>
      <c r="J41" s="5"/>
      <c r="K41" s="2"/>
      <c r="L41" s="2"/>
      <c r="M41" s="2"/>
      <c r="N41" s="5"/>
    </row>
    <row r="42" spans="1:14" ht="15">
      <c r="A42" s="317"/>
      <c r="B42" s="318"/>
      <c r="C42" s="318"/>
      <c r="D42" s="319"/>
      <c r="E42" s="2"/>
      <c r="F42" s="395" t="s">
        <v>241</v>
      </c>
      <c r="G42" s="2" t="s">
        <v>283</v>
      </c>
      <c r="H42" s="343"/>
      <c r="I42" s="10"/>
      <c r="J42" s="553"/>
      <c r="K42" s="553"/>
      <c r="L42" s="553"/>
      <c r="M42" s="553"/>
      <c r="N42" s="553"/>
    </row>
    <row r="43" spans="1:14" ht="15">
      <c r="A43" s="23"/>
      <c r="B43" s="2"/>
      <c r="C43" s="13"/>
      <c r="D43" s="2"/>
      <c r="E43" s="2"/>
      <c r="H43" s="211"/>
      <c r="I43" s="555"/>
      <c r="J43" s="556"/>
      <c r="K43" s="556"/>
      <c r="L43" s="556"/>
      <c r="M43" s="556"/>
      <c r="N43" s="556"/>
    </row>
    <row r="44" spans="5:14" ht="15">
      <c r="E44" s="23"/>
      <c r="K44" s="33"/>
      <c r="L44" s="33"/>
      <c r="M44" s="33"/>
      <c r="N44" s="33"/>
    </row>
    <row r="45" spans="10:14" ht="15">
      <c r="J45" s="554"/>
      <c r="K45" s="554"/>
      <c r="L45" s="554"/>
      <c r="M45" s="554"/>
      <c r="N45" s="554"/>
    </row>
  </sheetData>
  <sheetProtection/>
  <printOptions/>
  <pageMargins left="0.75" right="0.5" top="0.75" bottom="0.5" header="0.5" footer="0.5"/>
  <pageSetup firstPageNumber="211" useFirstPageNumber="1" fitToHeight="1" fitToWidth="1" horizontalDpi="600" verticalDpi="600" orientation="landscape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K34"/>
  <sheetViews>
    <sheetView zoomScale="60" zoomScaleNormal="60" zoomScalePageLayoutView="0" workbookViewId="0" topLeftCell="A1">
      <selection activeCell="A3" sqref="A3"/>
    </sheetView>
  </sheetViews>
  <sheetFormatPr defaultColWidth="8.88671875" defaultRowHeight="15"/>
  <cols>
    <col min="1" max="1" width="24.10546875" style="0" customWidth="1"/>
    <col min="2" max="2" width="9.3359375" style="0" customWidth="1"/>
    <col min="3" max="3" width="12.10546875" style="133" customWidth="1"/>
    <col min="4" max="4" width="13.77734375" style="133" customWidth="1"/>
    <col min="5" max="5" width="13.6640625" style="133" customWidth="1"/>
    <col min="6" max="6" width="12.6640625" style="133" customWidth="1"/>
    <col min="7" max="7" width="14.99609375" style="133" customWidth="1"/>
    <col min="8" max="8" width="13.88671875" style="133" customWidth="1"/>
    <col min="9" max="9" width="13.5546875" style="133" bestFit="1" customWidth="1"/>
    <col min="10" max="10" width="13.6640625" style="133" customWidth="1"/>
    <col min="11" max="11" width="13.5546875" style="133" bestFit="1" customWidth="1"/>
    <col min="12" max="14" width="15.77734375" style="133" customWidth="1"/>
  </cols>
  <sheetData>
    <row r="1" spans="1:14" ht="15.75">
      <c r="A1" s="1" t="str">
        <f>'2. Units &amp; Income'!A1</f>
        <v>Willets Point Phase 1 Development</v>
      </c>
      <c r="M1" s="430"/>
      <c r="N1" s="430"/>
    </row>
    <row r="2" spans="1:14" ht="15.75">
      <c r="A2" s="1" t="str">
        <f>'2. Sources and Use'!A2</f>
        <v>Building 2</v>
      </c>
      <c r="M2" s="430" t="str">
        <f>'2. Sources and Use'!C2</f>
        <v>Units:</v>
      </c>
      <c r="N2" s="430">
        <f>'2. Units &amp; Income'!B24</f>
        <v>0</v>
      </c>
    </row>
    <row r="3" ht="15.75">
      <c r="A3" s="1"/>
    </row>
    <row r="4" ht="15.75">
      <c r="A4" s="1"/>
    </row>
    <row r="5" ht="15.75">
      <c r="A5" s="1"/>
    </row>
    <row r="6" spans="2:14" s="124" customFormat="1" ht="15">
      <c r="B6" s="124" t="s">
        <v>175</v>
      </c>
      <c r="C6" s="138" t="s">
        <v>85</v>
      </c>
      <c r="D6" s="138" t="s">
        <v>86</v>
      </c>
      <c r="E6" s="138" t="s">
        <v>87</v>
      </c>
      <c r="F6" s="138" t="s">
        <v>88</v>
      </c>
      <c r="G6" s="138" t="s">
        <v>89</v>
      </c>
      <c r="H6" s="138" t="s">
        <v>90</v>
      </c>
      <c r="I6" s="138" t="s">
        <v>91</v>
      </c>
      <c r="J6" s="138" t="s">
        <v>92</v>
      </c>
      <c r="K6" s="138" t="s">
        <v>93</v>
      </c>
      <c r="L6" s="138" t="s">
        <v>94</v>
      </c>
      <c r="M6" s="138" t="s">
        <v>121</v>
      </c>
      <c r="N6" s="138" t="s">
        <v>122</v>
      </c>
    </row>
    <row r="7" spans="3:14" s="124" customFormat="1" ht="15"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s="124" customFormat="1" ht="15.75">
      <c r="A8" s="137" t="s">
        <v>176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37" ht="15">
      <c r="A9" s="124" t="s">
        <v>129</v>
      </c>
      <c r="B9" s="136"/>
      <c r="C9" s="133">
        <f>'2. Mort'!D11</f>
        <v>0</v>
      </c>
      <c r="D9" s="133">
        <f aca="true" t="shared" si="0" ref="D9:N9">C9*(1+$B$9)</f>
        <v>0</v>
      </c>
      <c r="E9" s="133">
        <f t="shared" si="0"/>
        <v>0</v>
      </c>
      <c r="F9" s="133">
        <f t="shared" si="0"/>
        <v>0</v>
      </c>
      <c r="G9" s="133">
        <f t="shared" si="0"/>
        <v>0</v>
      </c>
      <c r="H9" s="133">
        <f t="shared" si="0"/>
        <v>0</v>
      </c>
      <c r="I9" s="133">
        <f t="shared" si="0"/>
        <v>0</v>
      </c>
      <c r="J9" s="133">
        <f t="shared" si="0"/>
        <v>0</v>
      </c>
      <c r="K9" s="133">
        <f t="shared" si="0"/>
        <v>0</v>
      </c>
      <c r="L9" s="133">
        <f t="shared" si="0"/>
        <v>0</v>
      </c>
      <c r="M9" s="133">
        <f t="shared" si="0"/>
        <v>0</v>
      </c>
      <c r="N9" s="133">
        <f t="shared" si="0"/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14" ht="15">
      <c r="A10" s="124" t="s">
        <v>109</v>
      </c>
      <c r="B10" s="136"/>
      <c r="C10" s="133">
        <f>'2. Mort'!D13+'2. Mort'!D17</f>
        <v>0</v>
      </c>
      <c r="D10" s="133">
        <f aca="true" t="shared" si="1" ref="D10:N10">(C10*$B$10)+C10</f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  <c r="H10" s="133">
        <f t="shared" si="1"/>
        <v>0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133">
        <f t="shared" si="1"/>
        <v>0</v>
      </c>
    </row>
    <row r="11" spans="1:37" ht="15">
      <c r="A11" s="124" t="s">
        <v>127</v>
      </c>
      <c r="B11" s="136"/>
      <c r="C11" s="133">
        <f>'2. Mort'!D14+'2. Mort'!D18</f>
        <v>0</v>
      </c>
      <c r="D11" s="133">
        <f>C11</f>
        <v>0</v>
      </c>
      <c r="E11" s="133">
        <f>D11*(1+B11)</f>
        <v>0</v>
      </c>
      <c r="F11" s="133">
        <f>E11</f>
        <v>0</v>
      </c>
      <c r="G11" s="133">
        <f>F11*(1+B11)</f>
        <v>0</v>
      </c>
      <c r="H11" s="133">
        <f>G11</f>
        <v>0</v>
      </c>
      <c r="I11" s="133">
        <f>H11*(1+B11)</f>
        <v>0</v>
      </c>
      <c r="J11" s="133">
        <f>I11</f>
        <v>0</v>
      </c>
      <c r="K11" s="133">
        <f>J11*(1+B11)</f>
        <v>0</v>
      </c>
      <c r="L11" s="133">
        <f>K11</f>
        <v>0</v>
      </c>
      <c r="M11" s="133">
        <f>L11*(1+B11)</f>
        <v>0</v>
      </c>
      <c r="N11" s="133">
        <f>M11</f>
        <v>0</v>
      </c>
      <c r="O11" s="33"/>
      <c r="P11" s="33"/>
      <c r="Q11" s="33"/>
      <c r="R11" s="33"/>
      <c r="S11" s="33"/>
      <c r="T11" s="33"/>
      <c r="U11" s="33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5">
      <c r="A12" s="124" t="s">
        <v>161</v>
      </c>
      <c r="B12" s="136"/>
      <c r="C12" s="133">
        <f>'2. Mort'!D15+'2. Mort'!D19</f>
        <v>0</v>
      </c>
      <c r="D12" s="133">
        <f>C12</f>
        <v>0</v>
      </c>
      <c r="E12" s="133">
        <f>D12*(1+B12)</f>
        <v>0</v>
      </c>
      <c r="F12" s="133">
        <f>E12</f>
        <v>0</v>
      </c>
      <c r="G12" s="133">
        <f>F12*(1+B12)</f>
        <v>0</v>
      </c>
      <c r="H12" s="133">
        <f>G12</f>
        <v>0</v>
      </c>
      <c r="I12" s="133">
        <f>H12*(1+B12)</f>
        <v>0</v>
      </c>
      <c r="J12" s="133">
        <f>I12</f>
        <v>0</v>
      </c>
      <c r="K12" s="133">
        <f>J12*(1+B12)</f>
        <v>0</v>
      </c>
      <c r="L12" s="133">
        <f>K12</f>
        <v>0</v>
      </c>
      <c r="M12" s="133">
        <f>L12*(1+B12)</f>
        <v>0</v>
      </c>
      <c r="N12" s="133">
        <f>M12</f>
        <v>0</v>
      </c>
      <c r="O12" s="33"/>
      <c r="P12" s="33"/>
      <c r="Q12" s="33"/>
      <c r="R12" s="33"/>
      <c r="S12" s="33"/>
      <c r="T12" s="33"/>
      <c r="U12" s="33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5">
      <c r="A13" s="124" t="s">
        <v>116</v>
      </c>
      <c r="B13" s="136"/>
      <c r="C13" s="133">
        <f>'2. Mort'!D16+'2. Mort'!D20</f>
        <v>0</v>
      </c>
      <c r="D13" s="133">
        <f aca="true" t="shared" si="2" ref="D13:N13">(C13*$B$13)+C13</f>
        <v>0</v>
      </c>
      <c r="E13" s="133">
        <f t="shared" si="2"/>
        <v>0</v>
      </c>
      <c r="F13" s="133">
        <f t="shared" si="2"/>
        <v>0</v>
      </c>
      <c r="G13" s="133">
        <f t="shared" si="2"/>
        <v>0</v>
      </c>
      <c r="H13" s="133">
        <f t="shared" si="2"/>
        <v>0</v>
      </c>
      <c r="I13" s="133">
        <f t="shared" si="2"/>
        <v>0</v>
      </c>
      <c r="J13" s="133">
        <f t="shared" si="2"/>
        <v>0</v>
      </c>
      <c r="K13" s="133">
        <f t="shared" si="2"/>
        <v>0</v>
      </c>
      <c r="L13" s="133">
        <f t="shared" si="2"/>
        <v>0</v>
      </c>
      <c r="M13" s="133">
        <f t="shared" si="2"/>
        <v>0</v>
      </c>
      <c r="N13" s="133">
        <f t="shared" si="2"/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14" s="31" customFormat="1" ht="15.75">
      <c r="A14" s="107" t="s">
        <v>95</v>
      </c>
      <c r="C14" s="90">
        <f aca="true" t="shared" si="3" ref="C14:N14">SUM(C9:C13)</f>
        <v>0</v>
      </c>
      <c r="D14" s="90">
        <f t="shared" si="3"/>
        <v>0</v>
      </c>
      <c r="E14" s="90">
        <f t="shared" si="3"/>
        <v>0</v>
      </c>
      <c r="F14" s="90">
        <f t="shared" si="3"/>
        <v>0</v>
      </c>
      <c r="G14" s="90">
        <f t="shared" si="3"/>
        <v>0</v>
      </c>
      <c r="H14" s="90">
        <f t="shared" si="3"/>
        <v>0</v>
      </c>
      <c r="I14" s="90">
        <f t="shared" si="3"/>
        <v>0</v>
      </c>
      <c r="J14" s="90">
        <f t="shared" si="3"/>
        <v>0</v>
      </c>
      <c r="K14" s="90">
        <f t="shared" si="3"/>
        <v>0</v>
      </c>
      <c r="L14" s="90">
        <f t="shared" si="3"/>
        <v>0</v>
      </c>
      <c r="M14" s="90">
        <f t="shared" si="3"/>
        <v>0</v>
      </c>
      <c r="N14" s="90">
        <f t="shared" si="3"/>
        <v>0</v>
      </c>
    </row>
    <row r="15" ht="15">
      <c r="A15" s="124"/>
    </row>
    <row r="16" ht="15.75">
      <c r="A16" s="137" t="s">
        <v>177</v>
      </c>
    </row>
    <row r="17" spans="1:14" ht="15">
      <c r="A17" s="124" t="s">
        <v>96</v>
      </c>
      <c r="B17" s="136"/>
      <c r="C17" s="133">
        <f>'2. Mort'!D25+'2. Mort'!D26</f>
        <v>0</v>
      </c>
      <c r="D17" s="133">
        <f aca="true" t="shared" si="4" ref="D17:N17">C17*(1+$B$17)</f>
        <v>0</v>
      </c>
      <c r="E17" s="133">
        <f t="shared" si="4"/>
        <v>0</v>
      </c>
      <c r="F17" s="133">
        <f t="shared" si="4"/>
        <v>0</v>
      </c>
      <c r="G17" s="133">
        <f t="shared" si="4"/>
        <v>0</v>
      </c>
      <c r="H17" s="133">
        <f t="shared" si="4"/>
        <v>0</v>
      </c>
      <c r="I17" s="133">
        <f t="shared" si="4"/>
        <v>0</v>
      </c>
      <c r="J17" s="133">
        <f t="shared" si="4"/>
        <v>0</v>
      </c>
      <c r="K17" s="133">
        <f t="shared" si="4"/>
        <v>0</v>
      </c>
      <c r="L17" s="133">
        <f t="shared" si="4"/>
        <v>0</v>
      </c>
      <c r="M17" s="133">
        <f t="shared" si="4"/>
        <v>0</v>
      </c>
      <c r="N17" s="133">
        <f t="shared" si="4"/>
        <v>0</v>
      </c>
    </row>
    <row r="18" spans="1:16" ht="15">
      <c r="A18" s="124" t="s">
        <v>97</v>
      </c>
      <c r="B18" s="136"/>
      <c r="C18" s="133">
        <f>'2. Mort'!D27</f>
        <v>0</v>
      </c>
      <c r="D18" s="133">
        <f aca="true" t="shared" si="5" ref="D18:N18">C18</f>
        <v>0</v>
      </c>
      <c r="E18" s="133">
        <f t="shared" si="5"/>
        <v>0</v>
      </c>
      <c r="F18" s="133">
        <f t="shared" si="5"/>
        <v>0</v>
      </c>
      <c r="G18" s="133">
        <f t="shared" si="5"/>
        <v>0</v>
      </c>
      <c r="H18" s="133">
        <f t="shared" si="5"/>
        <v>0</v>
      </c>
      <c r="I18" s="133">
        <f t="shared" si="5"/>
        <v>0</v>
      </c>
      <c r="J18" s="133">
        <f t="shared" si="5"/>
        <v>0</v>
      </c>
      <c r="K18" s="133">
        <f t="shared" si="5"/>
        <v>0</v>
      </c>
      <c r="L18" s="133">
        <f t="shared" si="5"/>
        <v>0</v>
      </c>
      <c r="M18" s="133">
        <f t="shared" si="5"/>
        <v>0</v>
      </c>
      <c r="N18" s="133">
        <f t="shared" si="5"/>
        <v>0</v>
      </c>
      <c r="O18" s="43"/>
      <c r="P18" s="43"/>
    </row>
    <row r="19" spans="1:14" s="31" customFormat="1" ht="15.75">
      <c r="A19" s="107" t="s">
        <v>30</v>
      </c>
      <c r="C19" s="90">
        <f aca="true" t="shared" si="6" ref="C19:N19">SUM(C17:C18)</f>
        <v>0</v>
      </c>
      <c r="D19" s="90">
        <f t="shared" si="6"/>
        <v>0</v>
      </c>
      <c r="E19" s="90">
        <f t="shared" si="6"/>
        <v>0</v>
      </c>
      <c r="F19" s="90">
        <f t="shared" si="6"/>
        <v>0</v>
      </c>
      <c r="G19" s="90">
        <f t="shared" si="6"/>
        <v>0</v>
      </c>
      <c r="H19" s="90">
        <f t="shared" si="6"/>
        <v>0</v>
      </c>
      <c r="I19" s="90">
        <f t="shared" si="6"/>
        <v>0</v>
      </c>
      <c r="J19" s="90">
        <f t="shared" si="6"/>
        <v>0</v>
      </c>
      <c r="K19" s="90">
        <f t="shared" si="6"/>
        <v>0</v>
      </c>
      <c r="L19" s="90">
        <f t="shared" si="6"/>
        <v>0</v>
      </c>
      <c r="M19" s="90">
        <f t="shared" si="6"/>
        <v>0</v>
      </c>
      <c r="N19" s="90">
        <f t="shared" si="6"/>
        <v>0</v>
      </c>
    </row>
    <row r="20" ht="15">
      <c r="A20" s="124"/>
    </row>
    <row r="21" spans="1:14" s="31" customFormat="1" ht="15.75">
      <c r="A21" s="137" t="s">
        <v>98</v>
      </c>
      <c r="C21" s="90">
        <f aca="true" t="shared" si="7" ref="C21:N21">C14-C19</f>
        <v>0</v>
      </c>
      <c r="D21" s="90">
        <f t="shared" si="7"/>
        <v>0</v>
      </c>
      <c r="E21" s="90">
        <f t="shared" si="7"/>
        <v>0</v>
      </c>
      <c r="F21" s="90">
        <f t="shared" si="7"/>
        <v>0</v>
      </c>
      <c r="G21" s="90">
        <f t="shared" si="7"/>
        <v>0</v>
      </c>
      <c r="H21" s="90">
        <f t="shared" si="7"/>
        <v>0</v>
      </c>
      <c r="I21" s="90">
        <f t="shared" si="7"/>
        <v>0</v>
      </c>
      <c r="J21" s="90">
        <f t="shared" si="7"/>
        <v>0</v>
      </c>
      <c r="K21" s="90">
        <f t="shared" si="7"/>
        <v>0</v>
      </c>
      <c r="L21" s="90">
        <f t="shared" si="7"/>
        <v>0</v>
      </c>
      <c r="M21" s="90">
        <f t="shared" si="7"/>
        <v>0</v>
      </c>
      <c r="N21" s="90">
        <f t="shared" si="7"/>
        <v>0</v>
      </c>
    </row>
    <row r="22" spans="1:14" s="31" customFormat="1" ht="15.75">
      <c r="A22" s="13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s="44" customFormat="1" ht="15">
      <c r="A23" s="107" t="s">
        <v>47</v>
      </c>
      <c r="C23" s="134" t="e">
        <f>'2. Mort'!L35</f>
        <v>#DIV/0!</v>
      </c>
      <c r="D23" s="134" t="e">
        <f aca="true" t="shared" si="8" ref="D23:N23">C23</f>
        <v>#DIV/0!</v>
      </c>
      <c r="E23" s="134" t="e">
        <f t="shared" si="8"/>
        <v>#DIV/0!</v>
      </c>
      <c r="F23" s="134" t="e">
        <f t="shared" si="8"/>
        <v>#DIV/0!</v>
      </c>
      <c r="G23" s="134" t="e">
        <f t="shared" si="8"/>
        <v>#DIV/0!</v>
      </c>
      <c r="H23" s="134" t="e">
        <f t="shared" si="8"/>
        <v>#DIV/0!</v>
      </c>
      <c r="I23" s="134" t="e">
        <f t="shared" si="8"/>
        <v>#DIV/0!</v>
      </c>
      <c r="J23" s="134" t="e">
        <f t="shared" si="8"/>
        <v>#DIV/0!</v>
      </c>
      <c r="K23" s="134" t="e">
        <f t="shared" si="8"/>
        <v>#DIV/0!</v>
      </c>
      <c r="L23" s="134" t="e">
        <f t="shared" si="8"/>
        <v>#DIV/0!</v>
      </c>
      <c r="M23" s="134" t="e">
        <f t="shared" si="8"/>
        <v>#DIV/0!</v>
      </c>
      <c r="N23" s="134" t="e">
        <f t="shared" si="8"/>
        <v>#DIV/0!</v>
      </c>
    </row>
    <row r="24" spans="1:14" s="31" customFormat="1" ht="15.75">
      <c r="A24" s="13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s="31" customFormat="1" ht="15.75">
      <c r="A25" s="137" t="s">
        <v>99</v>
      </c>
      <c r="C25" s="90" t="e">
        <f aca="true" t="shared" si="9" ref="C25:N25">C21-C23</f>
        <v>#DIV/0!</v>
      </c>
      <c r="D25" s="90" t="e">
        <f t="shared" si="9"/>
        <v>#DIV/0!</v>
      </c>
      <c r="E25" s="90" t="e">
        <f t="shared" si="9"/>
        <v>#DIV/0!</v>
      </c>
      <c r="F25" s="90" t="e">
        <f t="shared" si="9"/>
        <v>#DIV/0!</v>
      </c>
      <c r="G25" s="90" t="e">
        <f t="shared" si="9"/>
        <v>#DIV/0!</v>
      </c>
      <c r="H25" s="90" t="e">
        <f t="shared" si="9"/>
        <v>#DIV/0!</v>
      </c>
      <c r="I25" s="90" t="e">
        <f t="shared" si="9"/>
        <v>#DIV/0!</v>
      </c>
      <c r="J25" s="90" t="e">
        <f t="shared" si="9"/>
        <v>#DIV/0!</v>
      </c>
      <c r="K25" s="90" t="e">
        <f t="shared" si="9"/>
        <v>#DIV/0!</v>
      </c>
      <c r="L25" s="90" t="e">
        <f t="shared" si="9"/>
        <v>#DIV/0!</v>
      </c>
      <c r="M25" s="90" t="e">
        <f t="shared" si="9"/>
        <v>#DIV/0!</v>
      </c>
      <c r="N25" s="90" t="e">
        <f t="shared" si="9"/>
        <v>#DIV/0!</v>
      </c>
    </row>
    <row r="26" spans="1:14" s="31" customFormat="1" ht="15.75">
      <c r="A26" s="137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31" customFormat="1" ht="15.75">
      <c r="A27" s="137" t="s">
        <v>117</v>
      </c>
      <c r="C27" s="90" t="e">
        <f>SUM(C25:N25)</f>
        <v>#DIV/0!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3:14" s="31" customFormat="1" ht="15.75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30" spans="1:4" ht="15">
      <c r="A30" s="11"/>
      <c r="B30" s="132"/>
      <c r="C30" s="13"/>
      <c r="D30" s="132"/>
    </row>
    <row r="32" ht="15">
      <c r="A32" s="42"/>
    </row>
    <row r="33" ht="15">
      <c r="A33" s="46"/>
    </row>
    <row r="34" ht="15">
      <c r="A34" s="46"/>
    </row>
  </sheetData>
  <sheetProtection/>
  <printOptions/>
  <pageMargins left="0.75" right="0.5" top="0.75" bottom="0.5" header="0.5" footer="0.5"/>
  <pageSetup firstPageNumber="212" useFirstPageNumber="1"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V21"/>
  <sheetViews>
    <sheetView zoomScale="85" zoomScaleNormal="85" zoomScalePageLayoutView="0" workbookViewId="0" topLeftCell="A1">
      <selection activeCell="D53" sqref="D53:D54"/>
    </sheetView>
  </sheetViews>
  <sheetFormatPr defaultColWidth="7.10546875" defaultRowHeight="15"/>
  <cols>
    <col min="1" max="1" width="2.6640625" style="454" customWidth="1"/>
    <col min="2" max="2" width="23.21484375" style="454" customWidth="1"/>
    <col min="3" max="3" width="7.6640625" style="454" customWidth="1"/>
    <col min="4" max="4" width="15.6640625" style="454" customWidth="1"/>
    <col min="5" max="16384" width="7.10546875" style="454" customWidth="1"/>
  </cols>
  <sheetData>
    <row r="1" s="478" customFormat="1" ht="15.75">
      <c r="A1" s="478" t="s">
        <v>662</v>
      </c>
    </row>
    <row r="2" spans="1:22" s="480" customFormat="1" ht="20.25" customHeight="1">
      <c r="A2" s="478" t="str">
        <f>'1. Sources and Use'!A2</f>
        <v>Building 1</v>
      </c>
      <c r="B2" s="479"/>
      <c r="C2" s="479"/>
      <c r="D2" s="479"/>
      <c r="E2" s="456" t="str">
        <f>'1. Sources and Use'!C2</f>
        <v>Units:</v>
      </c>
      <c r="F2" s="740">
        <f>'1. Units &amp; Income'!I2</f>
        <v>0</v>
      </c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</row>
    <row r="3" ht="11.25" customHeight="1">
      <c r="A3" s="462"/>
    </row>
    <row r="4" ht="11.25" customHeight="1">
      <c r="A4" s="462"/>
    </row>
    <row r="5" ht="12.75">
      <c r="A5" s="456" t="s">
        <v>280</v>
      </c>
    </row>
    <row r="7" ht="12.75">
      <c r="A7" s="454" t="s">
        <v>281</v>
      </c>
    </row>
    <row r="9" spans="1:4" ht="18" customHeight="1">
      <c r="A9" s="454">
        <v>1</v>
      </c>
      <c r="B9" s="700" t="s">
        <v>347</v>
      </c>
      <c r="D9" s="463">
        <f>'1. Units &amp; Income'!B7</f>
        <v>0</v>
      </c>
    </row>
    <row r="10" spans="1:4" ht="18" customHeight="1">
      <c r="A10" s="454">
        <f aca="true" t="shared" si="0" ref="A10:A15">A9+1</f>
        <v>2</v>
      </c>
      <c r="B10" s="700" t="s">
        <v>474</v>
      </c>
      <c r="D10" s="463"/>
    </row>
    <row r="11" spans="1:4" ht="18" customHeight="1">
      <c r="A11" s="454">
        <f t="shared" si="0"/>
        <v>3</v>
      </c>
      <c r="B11" s="700" t="s">
        <v>348</v>
      </c>
      <c r="D11" s="463">
        <f>'1. Units &amp; Income'!B8</f>
        <v>0</v>
      </c>
    </row>
    <row r="12" spans="1:4" ht="18" customHeight="1">
      <c r="A12" s="454">
        <f t="shared" si="0"/>
        <v>4</v>
      </c>
      <c r="B12" s="700" t="s">
        <v>349</v>
      </c>
      <c r="D12" s="463">
        <f>'1. Units &amp; Income'!B9</f>
        <v>0</v>
      </c>
    </row>
    <row r="13" spans="1:4" ht="18" customHeight="1">
      <c r="A13" s="454">
        <f t="shared" si="0"/>
        <v>5</v>
      </c>
      <c r="B13" s="701" t="s">
        <v>350</v>
      </c>
      <c r="D13" s="463"/>
    </row>
    <row r="14" spans="1:4" ht="18" customHeight="1">
      <c r="A14" s="454">
        <f t="shared" si="0"/>
        <v>6</v>
      </c>
      <c r="B14" s="700" t="s">
        <v>473</v>
      </c>
      <c r="D14" s="463"/>
    </row>
    <row r="15" spans="1:4" ht="18" customHeight="1">
      <c r="A15" s="454">
        <f t="shared" si="0"/>
        <v>7</v>
      </c>
      <c r="B15" s="702" t="s">
        <v>485</v>
      </c>
      <c r="D15" s="464">
        <f>SUM(D9:D14)</f>
        <v>0</v>
      </c>
    </row>
    <row r="18" ht="18" customHeight="1">
      <c r="A18" s="699" t="s">
        <v>486</v>
      </c>
    </row>
    <row r="19" spans="2:4" ht="18" customHeight="1">
      <c r="B19" s="743" t="s">
        <v>487</v>
      </c>
      <c r="D19" s="742"/>
    </row>
    <row r="20" spans="2:4" ht="18" customHeight="1">
      <c r="B20" s="743" t="s">
        <v>488</v>
      </c>
      <c r="D20" s="742"/>
    </row>
    <row r="21" spans="2:4" ht="18" customHeight="1">
      <c r="B21" s="741" t="s">
        <v>387</v>
      </c>
      <c r="D21" s="742"/>
    </row>
  </sheetData>
  <sheetProtection/>
  <printOptions horizontalCentered="1"/>
  <pageMargins left="0.75" right="0.75" top="1" bottom="1" header="0.5" footer="0.5"/>
  <pageSetup firstPageNumber="215" useFirstPageNumber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83"/>
  <sheetViews>
    <sheetView zoomScale="60" zoomScaleNormal="60" zoomScalePageLayoutView="0" workbookViewId="0" topLeftCell="A1">
      <selection activeCell="A3" sqref="A3"/>
    </sheetView>
  </sheetViews>
  <sheetFormatPr defaultColWidth="8.88671875" defaultRowHeight="15"/>
  <cols>
    <col min="1" max="1" width="38.4453125" style="0" customWidth="1"/>
    <col min="2" max="2" width="19.5546875" style="403" bestFit="1" customWidth="1"/>
    <col min="3" max="3" width="15.10546875" style="790" bestFit="1" customWidth="1"/>
    <col min="4" max="4" width="16.3359375" style="0" customWidth="1"/>
    <col min="5" max="5" width="6.21484375" style="0" customWidth="1"/>
    <col min="6" max="6" width="23.6640625" style="0" customWidth="1"/>
    <col min="7" max="7" width="11.4453125" style="0" customWidth="1"/>
    <col min="8" max="8" width="13.6640625" style="0" customWidth="1"/>
  </cols>
  <sheetData>
    <row r="1" spans="1:8" ht="15.75">
      <c r="A1" s="31" t="str">
        <f>'2. Sources and Use'!A1</f>
        <v>Willets Point Phase 1 Development</v>
      </c>
      <c r="B1" s="402"/>
      <c r="G1" s="431"/>
      <c r="H1" s="431"/>
    </row>
    <row r="2" spans="1:8" ht="15.75">
      <c r="A2" s="31" t="str">
        <f>'2. Sources and Use'!A2</f>
        <v>Building 2</v>
      </c>
      <c r="B2" s="402"/>
      <c r="G2" s="739" t="str">
        <f>'2. Units &amp; Income'!H2</f>
        <v>Units:</v>
      </c>
      <c r="H2" s="739">
        <f>'2. Units &amp; Income'!I2</f>
        <v>0</v>
      </c>
    </row>
    <row r="3" spans="7:8" ht="15.75">
      <c r="G3" s="739" t="str">
        <f>'2. Units &amp; Income'!H3</f>
        <v>Rooms:</v>
      </c>
      <c r="H3" s="739">
        <f>'2. Units &amp; Income'!I3</f>
        <v>0</v>
      </c>
    </row>
    <row r="4" ht="15.75">
      <c r="A4" s="31" t="s">
        <v>233</v>
      </c>
    </row>
    <row r="5" spans="1:3" ht="15.75" thickBot="1">
      <c r="A5" s="432" t="s">
        <v>234</v>
      </c>
      <c r="B5" s="404"/>
      <c r="C5"/>
    </row>
    <row r="6" spans="2:8" ht="17.25" thickBot="1" thickTop="1">
      <c r="B6" s="402"/>
      <c r="F6" s="569" t="s">
        <v>345</v>
      </c>
      <c r="G6" s="570"/>
      <c r="H6" s="1368"/>
    </row>
    <row r="7" spans="1:8" ht="16.5" thickTop="1">
      <c r="A7" s="406"/>
      <c r="B7" s="407" t="s">
        <v>220</v>
      </c>
      <c r="C7" s="408" t="s">
        <v>219</v>
      </c>
      <c r="D7" s="409" t="s">
        <v>221</v>
      </c>
      <c r="F7" s="411" t="s">
        <v>224</v>
      </c>
      <c r="G7" s="172"/>
      <c r="H7" s="791" t="e">
        <f>H6/UNITS2</f>
        <v>#DIV/0!</v>
      </c>
    </row>
    <row r="8" spans="1:8" ht="15">
      <c r="A8" s="410" t="str">
        <f>'2. Devel. Bud'!A6</f>
        <v>Acquisition Cost</v>
      </c>
      <c r="B8" s="395" t="s">
        <v>222</v>
      </c>
      <c r="C8" s="361">
        <f>'2. Devel. Bud'!D6</f>
        <v>0</v>
      </c>
      <c r="D8" s="1315">
        <f>IF(B8="Y",(C8*$H$9),0)</f>
        <v>0</v>
      </c>
      <c r="F8" s="411" t="s">
        <v>225</v>
      </c>
      <c r="G8" s="172"/>
      <c r="H8" s="791" t="e">
        <f>SUM('2. Devel. Bud'!D11:D13)/'2. Devel. Bud'!D15</f>
        <v>#DIV/0!</v>
      </c>
    </row>
    <row r="9" spans="1:8" ht="15">
      <c r="A9" s="411"/>
      <c r="B9" s="395"/>
      <c r="C9" s="361"/>
      <c r="D9" s="1320"/>
      <c r="F9" s="411" t="s">
        <v>226</v>
      </c>
      <c r="G9" s="172"/>
      <c r="H9" s="420" t="e">
        <f>H7*(1-H8)</f>
        <v>#DIV/0!</v>
      </c>
    </row>
    <row r="10" spans="1:8" ht="15">
      <c r="A10" s="410" t="str">
        <f>'2. Devel. Bud'!A8</f>
        <v>Construction Cost</v>
      </c>
      <c r="B10" s="395"/>
      <c r="C10" s="361"/>
      <c r="D10" s="1320"/>
      <c r="F10" s="421" t="s">
        <v>227</v>
      </c>
      <c r="G10" s="422"/>
      <c r="H10" s="793" t="e">
        <f>('2. Sources and Use'!B7-'2. Sources and Use'!B18)/'2. Sources and Use'!B7</f>
        <v>#DIV/0!</v>
      </c>
    </row>
    <row r="11" spans="1:4" ht="15">
      <c r="A11" s="410" t="str">
        <f>'2. Devel. Bud'!A9</f>
        <v>Contractor Price </v>
      </c>
      <c r="B11" s="395"/>
      <c r="C11" s="361"/>
      <c r="D11" s="1320"/>
    </row>
    <row r="12" spans="1:4" ht="15.75" thickBot="1">
      <c r="A12" s="411" t="str">
        <f>'2. Devel. Bud'!A10</f>
        <v>Residential</v>
      </c>
      <c r="B12" s="395" t="s">
        <v>223</v>
      </c>
      <c r="C12" s="361">
        <f>'2. Devel. Bud'!D10</f>
        <v>0</v>
      </c>
      <c r="D12" s="1297" t="e">
        <f>IF(B12="Y",(C12*$H$9),0)</f>
        <v>#DIV/0!</v>
      </c>
    </row>
    <row r="13" spans="1:8" ht="15.75" thickTop="1">
      <c r="A13" s="411" t="str">
        <f>'2. Devel. Bud'!A11</f>
        <v>Commercial Space</v>
      </c>
      <c r="B13" s="395" t="s">
        <v>223</v>
      </c>
      <c r="C13" s="361">
        <f>'2. Devel. Bud'!D11</f>
        <v>0</v>
      </c>
      <c r="D13" s="1321" t="e">
        <f>IF(B13="Y",(C13*$H$9),0)</f>
        <v>#DIV/0!</v>
      </c>
      <c r="F13" s="406" t="s">
        <v>231</v>
      </c>
      <c r="G13" s="425"/>
      <c r="H13" s="794" t="e">
        <f>D81*G13</f>
        <v>#DIV/0!</v>
      </c>
    </row>
    <row r="14" spans="1:8" ht="15">
      <c r="A14" s="411" t="str">
        <f>'2. Devel. Bud'!A12</f>
        <v>Community Space</v>
      </c>
      <c r="B14" s="395" t="s">
        <v>223</v>
      </c>
      <c r="C14" s="361">
        <f>'2. Devel. Bud'!D12</f>
        <v>0</v>
      </c>
      <c r="D14" s="1321" t="e">
        <f>IF(B14="Y",(C14*$H$9),0)</f>
        <v>#DIV/0!</v>
      </c>
      <c r="F14" s="411" t="s">
        <v>228</v>
      </c>
      <c r="G14" s="520"/>
      <c r="H14" s="424" t="e">
        <f>H13*G14</f>
        <v>#DIV/0!</v>
      </c>
    </row>
    <row r="15" spans="1:8" ht="15">
      <c r="A15" s="411" t="str">
        <f>'2. Devel. Bud'!A13</f>
        <v>Parking</v>
      </c>
      <c r="B15" s="395" t="s">
        <v>223</v>
      </c>
      <c r="C15" s="361">
        <f>'2. Devel. Bud'!D13</f>
        <v>0</v>
      </c>
      <c r="D15" s="1321" t="e">
        <f>IF(B15="Y",(C15*$H$9),0)</f>
        <v>#DIV/0!</v>
      </c>
      <c r="F15" s="411" t="s">
        <v>229</v>
      </c>
      <c r="G15" s="405"/>
      <c r="H15" s="424" t="e">
        <f>H14*G15</f>
        <v>#DIV/0!</v>
      </c>
    </row>
    <row r="16" spans="1:8" ht="15">
      <c r="A16" s="411" t="str">
        <f>'2. Devel. Bud'!A14</f>
        <v>Contingency</v>
      </c>
      <c r="B16" s="395" t="s">
        <v>223</v>
      </c>
      <c r="C16" s="361">
        <f>'2. Devel. Bud'!D14</f>
        <v>0</v>
      </c>
      <c r="D16" s="1319" t="e">
        <f>IF(B16="Y",(C16*$H$9),0)</f>
        <v>#DIV/0!</v>
      </c>
      <c r="F16" s="421" t="s">
        <v>230</v>
      </c>
      <c r="G16" s="422"/>
      <c r="H16" s="795" t="e">
        <f>H15*10</f>
        <v>#DIV/0!</v>
      </c>
    </row>
    <row r="17" spans="1:4" ht="15">
      <c r="A17" s="411"/>
      <c r="B17" s="395"/>
      <c r="C17" s="361"/>
      <c r="D17" s="1322"/>
    </row>
    <row r="18" spans="1:4" ht="15">
      <c r="A18" s="410" t="str">
        <f>'2. Devel. Bud'!A15</f>
        <v>Total Hard Cost</v>
      </c>
      <c r="B18" s="395"/>
      <c r="C18" s="412">
        <f>'2. Devel. Bud'!D15</f>
        <v>0</v>
      </c>
      <c r="D18" s="1323" t="e">
        <f>SUM(D12:D17)</f>
        <v>#DIV/0!</v>
      </c>
    </row>
    <row r="19" spans="1:4" ht="15">
      <c r="A19" s="411"/>
      <c r="B19" s="395"/>
      <c r="C19" s="361"/>
      <c r="D19" s="1320"/>
    </row>
    <row r="20" spans="1:4" ht="15">
      <c r="A20" s="411"/>
      <c r="B20" s="395"/>
      <c r="C20" s="361"/>
      <c r="D20" s="1320"/>
    </row>
    <row r="21" spans="1:4" ht="15">
      <c r="A21" s="410" t="str">
        <f>'2. Devel. Bud'!A18</f>
        <v>Soft Cost</v>
      </c>
      <c r="B21" s="395"/>
      <c r="C21" s="361"/>
      <c r="D21" s="1320"/>
    </row>
    <row r="22" spans="1:4" ht="15">
      <c r="A22" s="411"/>
      <c r="B22" s="395"/>
      <c r="C22" s="361"/>
      <c r="D22" s="1320"/>
    </row>
    <row r="23" spans="1:4" ht="15">
      <c r="A23" s="411" t="str">
        <f>'2. Devel. Bud'!A20</f>
        <v>Borrower's Legal</v>
      </c>
      <c r="B23" s="395" t="s">
        <v>223</v>
      </c>
      <c r="C23" s="361">
        <f>'2. Devel. Bud'!D20</f>
        <v>0</v>
      </c>
      <c r="D23" s="1297" t="e">
        <f aca="true" t="shared" si="0" ref="D23:D36">IF(B23="Y",(C23*$H$9),0)</f>
        <v>#DIV/0!</v>
      </c>
    </row>
    <row r="24" spans="1:4" ht="15">
      <c r="A24" s="411" t="str">
        <f>'2. Devel. Bud'!A21</f>
        <v>Borrower's Engineer/Architect Fees</v>
      </c>
      <c r="B24" s="395" t="s">
        <v>223</v>
      </c>
      <c r="C24" s="361">
        <f>'2. Devel. Bud'!D21</f>
        <v>0</v>
      </c>
      <c r="D24" s="1321" t="e">
        <f t="shared" si="0"/>
        <v>#DIV/0!</v>
      </c>
    </row>
    <row r="25" spans="1:4" ht="15">
      <c r="A25" s="411" t="str">
        <f>'2. Devel. Bud'!A22</f>
        <v>Accounting &amp; Cost Certification</v>
      </c>
      <c r="B25" s="395" t="s">
        <v>223</v>
      </c>
      <c r="C25" s="361">
        <f>'2. Devel. Bud'!D22</f>
        <v>0</v>
      </c>
      <c r="D25" s="1321" t="e">
        <f t="shared" si="0"/>
        <v>#DIV/0!</v>
      </c>
    </row>
    <row r="26" spans="1:4" ht="15">
      <c r="A26" s="411" t="str">
        <f>'2. Devel. Bud'!A23</f>
        <v>Bank's Engineer</v>
      </c>
      <c r="B26" s="395" t="s">
        <v>223</v>
      </c>
      <c r="C26" s="361">
        <f>'2. Devel. Bud'!D23</f>
        <v>0</v>
      </c>
      <c r="D26" s="1321" t="e">
        <f t="shared" si="0"/>
        <v>#DIV/0!</v>
      </c>
    </row>
    <row r="27" spans="1:4" ht="15">
      <c r="A27" s="411" t="str">
        <f>'2. Devel. Bud'!A24</f>
        <v>Bank Legal</v>
      </c>
      <c r="B27" s="395" t="s">
        <v>223</v>
      </c>
      <c r="C27" s="361">
        <f>'2. Devel. Bud'!D24</f>
        <v>0</v>
      </c>
      <c r="D27" s="1321" t="e">
        <f t="shared" si="0"/>
        <v>#DIV/0!</v>
      </c>
    </row>
    <row r="28" spans="1:4" ht="15">
      <c r="A28" s="411" t="str">
        <f>'2. Devel. Bud'!A25</f>
        <v>Permits and expediting</v>
      </c>
      <c r="B28" s="395" t="s">
        <v>223</v>
      </c>
      <c r="C28" s="361">
        <f>'2. Devel. Bud'!D25</f>
        <v>0</v>
      </c>
      <c r="D28" s="1321" t="e">
        <f t="shared" si="0"/>
        <v>#DIV/0!</v>
      </c>
    </row>
    <row r="29" spans="1:4" ht="15">
      <c r="A29" s="411" t="str">
        <f>'2. Devel. Bud'!A26</f>
        <v>Environmental Phase I &amp; II</v>
      </c>
      <c r="B29" s="395" t="s">
        <v>223</v>
      </c>
      <c r="C29" s="361">
        <f>'2. Devel. Bud'!D26</f>
        <v>0</v>
      </c>
      <c r="D29" s="1321" t="e">
        <f t="shared" si="0"/>
        <v>#DIV/0!</v>
      </c>
    </row>
    <row r="30" spans="1:4" ht="15">
      <c r="A30" s="411" t="str">
        <f>'2. Devel. Bud'!A27</f>
        <v>City Environmental Quality Review ("CEQR")</v>
      </c>
      <c r="B30" s="395" t="s">
        <v>223</v>
      </c>
      <c r="C30" s="361">
        <f>'2. Devel. Bud'!D27</f>
        <v>0</v>
      </c>
      <c r="D30" s="1321" t="e">
        <f t="shared" si="0"/>
        <v>#DIV/0!</v>
      </c>
    </row>
    <row r="31" spans="1:4" ht="15">
      <c r="A31" s="411" t="str">
        <f>'2. Devel. Bud'!A28</f>
        <v>Borings</v>
      </c>
      <c r="B31" s="395" t="s">
        <v>223</v>
      </c>
      <c r="C31" s="361">
        <f>'2. Devel. Bud'!D28</f>
        <v>0</v>
      </c>
      <c r="D31" s="1321" t="e">
        <f t="shared" si="0"/>
        <v>#DIV/0!</v>
      </c>
    </row>
    <row r="32" spans="1:4" ht="15">
      <c r="A32" s="411" t="str">
        <f>'2. Devel. Bud'!A29</f>
        <v>Survey</v>
      </c>
      <c r="B32" s="395" t="s">
        <v>223</v>
      </c>
      <c r="C32" s="361">
        <f>'2. Devel. Bud'!D29</f>
        <v>0</v>
      </c>
      <c r="D32" s="1321" t="e">
        <f t="shared" si="0"/>
        <v>#DIV/0!</v>
      </c>
    </row>
    <row r="33" spans="1:4" ht="15">
      <c r="A33" s="411" t="str">
        <f>'2. Devel. Bud'!A30</f>
        <v>Geotechnical</v>
      </c>
      <c r="B33" s="395" t="s">
        <v>223</v>
      </c>
      <c r="C33" s="361">
        <f>'2. Devel. Bud'!D30</f>
        <v>0</v>
      </c>
      <c r="D33" s="1321" t="e">
        <f t="shared" si="0"/>
        <v>#DIV/0!</v>
      </c>
    </row>
    <row r="34" spans="1:4" ht="15">
      <c r="A34" s="411" t="str">
        <f>'2. Devel. Bud'!A31</f>
        <v>Title Insurance</v>
      </c>
      <c r="B34" s="395" t="s">
        <v>223</v>
      </c>
      <c r="C34" s="361">
        <f>'2. Devel. Bud'!D31</f>
        <v>0</v>
      </c>
      <c r="D34" s="1321" t="e">
        <f t="shared" si="0"/>
        <v>#DIV/0!</v>
      </c>
    </row>
    <row r="35" spans="1:4" ht="15">
      <c r="A35" s="411" t="str">
        <f>'2. Devel. Bud'!A32</f>
        <v>Appraisal </v>
      </c>
      <c r="B35" s="395" t="s">
        <v>223</v>
      </c>
      <c r="C35" s="361">
        <f>'2. Devel. Bud'!D33</f>
        <v>0</v>
      </c>
      <c r="D35" s="1321" t="e">
        <f t="shared" si="0"/>
        <v>#DIV/0!</v>
      </c>
    </row>
    <row r="36" spans="1:4" ht="15">
      <c r="A36" s="411" t="str">
        <f>'2. Devel. Bud'!A33</f>
        <v>Other (Specify:_________________)</v>
      </c>
      <c r="B36" s="1295"/>
      <c r="C36" s="361">
        <f>'2. Devel. Bud'!D34</f>
        <v>0</v>
      </c>
      <c r="D36" s="1319">
        <f t="shared" si="0"/>
        <v>0</v>
      </c>
    </row>
    <row r="37" spans="1:6" ht="15">
      <c r="A37" s="414" t="str">
        <f>'2. Devel. Bud'!A34</f>
        <v>Subtotal</v>
      </c>
      <c r="B37" s="395"/>
      <c r="C37" s="412">
        <f>'2. Devel. Bud'!D34</f>
        <v>0</v>
      </c>
      <c r="D37" s="1323" t="e">
        <f>SUM(D23:D35)</f>
        <v>#DIV/0!</v>
      </c>
      <c r="F37" s="477"/>
    </row>
    <row r="38" spans="1:4" ht="15">
      <c r="A38" s="411"/>
      <c r="B38" s="395"/>
      <c r="C38" s="361"/>
      <c r="D38" s="1320"/>
    </row>
    <row r="39" spans="1:4" ht="15.75">
      <c r="A39" s="413" t="str">
        <f>'2. Devel. Bud'!A36</f>
        <v>Financing Fees (Please maintain links to original calculations and note any changes)</v>
      </c>
      <c r="B39" s="395"/>
      <c r="C39" s="361"/>
      <c r="D39" s="1320"/>
    </row>
    <row r="40" spans="1:4" ht="15">
      <c r="A40" s="411" t="str">
        <f>'2. Devel. Bud'!A37</f>
        <v>Upfront L/C Fee</v>
      </c>
      <c r="B40" s="395" t="s">
        <v>222</v>
      </c>
      <c r="C40" s="361">
        <f>'2. Devel. Bud'!D37</f>
        <v>0</v>
      </c>
      <c r="D40" s="1318">
        <f aca="true" t="shared" si="1" ref="D40:D53">IF(B40="Y",(C40*$H$9),0)</f>
        <v>0</v>
      </c>
    </row>
    <row r="41" spans="1:4" ht="15">
      <c r="A41" s="411" t="str">
        <f>'2. Devel. Bud'!A38</f>
        <v>Annual L/C Fee</v>
      </c>
      <c r="B41" s="395" t="s">
        <v>222</v>
      </c>
      <c r="C41" s="361">
        <f>'2. Devel. Bud'!D38</f>
        <v>0</v>
      </c>
      <c r="D41" s="1316">
        <f t="shared" si="1"/>
        <v>0</v>
      </c>
    </row>
    <row r="42" spans="1:4" ht="15">
      <c r="A42" s="411" t="str">
        <f>'2. Devel. Bud'!A39</f>
        <v>HDC Fee (if applicable)</v>
      </c>
      <c r="B42" s="395" t="s">
        <v>222</v>
      </c>
      <c r="C42" s="361">
        <f>'2. Devel. Bud'!D39</f>
        <v>0</v>
      </c>
      <c r="D42" s="1316">
        <f t="shared" si="1"/>
        <v>0</v>
      </c>
    </row>
    <row r="43" spans="1:4" ht="15">
      <c r="A43" s="411" t="str">
        <f>'2. Devel. Bud'!A40</f>
        <v>HDC Inducement Fee</v>
      </c>
      <c r="B43" s="395" t="s">
        <v>222</v>
      </c>
      <c r="C43" s="361">
        <f>'2. Devel. Bud'!D41</f>
        <v>0</v>
      </c>
      <c r="D43" s="1316">
        <f t="shared" si="1"/>
        <v>0</v>
      </c>
    </row>
    <row r="44" spans="1:4" ht="15">
      <c r="A44" s="411" t="str">
        <f>'2. Devel. Bud'!A41</f>
        <v>Costs of Bond Issuance</v>
      </c>
      <c r="B44" s="395" t="s">
        <v>222</v>
      </c>
      <c r="C44" s="361">
        <f>'2. Devel. Bud'!D42</f>
        <v>0</v>
      </c>
      <c r="D44" s="1316">
        <f t="shared" si="1"/>
        <v>0</v>
      </c>
    </row>
    <row r="45" spans="1:4" ht="15">
      <c r="A45" s="411" t="str">
        <f>'2. Devel. Bud'!A42</f>
        <v>HPD Fee (if applicable)</v>
      </c>
      <c r="B45" s="395" t="s">
        <v>222</v>
      </c>
      <c r="C45" s="361">
        <f>'2. Devel. Bud'!D43</f>
        <v>0</v>
      </c>
      <c r="D45" s="1316">
        <f t="shared" si="1"/>
        <v>0</v>
      </c>
    </row>
    <row r="46" spans="1:4" ht="15">
      <c r="A46" s="411" t="str">
        <f>'2. Devel. Bud'!A43</f>
        <v>Interest Rate Cap (estimate)</v>
      </c>
      <c r="B46" s="395" t="s">
        <v>222</v>
      </c>
      <c r="C46" s="361">
        <f>'2. Devel. Bud'!D48</f>
        <v>0</v>
      </c>
      <c r="D46" s="1316">
        <f t="shared" si="1"/>
        <v>0</v>
      </c>
    </row>
    <row r="47" spans="1:4" ht="15">
      <c r="A47" s="411" t="str">
        <f>'2. Devel. Bud'!A44</f>
        <v>Freddie Origination Fee</v>
      </c>
      <c r="B47" s="395" t="s">
        <v>222</v>
      </c>
      <c r="C47" s="361">
        <f>'2. Devel. Bud'!D49</f>
        <v>0</v>
      </c>
      <c r="D47" s="1316">
        <f t="shared" si="1"/>
        <v>0</v>
      </c>
    </row>
    <row r="48" spans="1:4" ht="15">
      <c r="A48" s="411" t="str">
        <f>'2. Devel. Bud'!A45</f>
        <v>Freddie Annual Fee</v>
      </c>
      <c r="B48" s="395" t="s">
        <v>222</v>
      </c>
      <c r="C48" s="361">
        <f>'2. Devel. Bud'!D50</f>
        <v>0</v>
      </c>
      <c r="D48" s="1316">
        <f t="shared" si="1"/>
        <v>0</v>
      </c>
    </row>
    <row r="49" spans="1:4" ht="15">
      <c r="A49" s="411" t="str">
        <f>'2. Devel. Bud'!A46</f>
        <v>DUS Lender Origination Fee</v>
      </c>
      <c r="B49" s="395" t="s">
        <v>222</v>
      </c>
      <c r="C49" s="361"/>
      <c r="D49" s="1316">
        <f t="shared" si="1"/>
        <v>0</v>
      </c>
    </row>
    <row r="50" spans="1:4" ht="15">
      <c r="A50" s="411" t="str">
        <f>'2. Devel. Bud'!A47</f>
        <v>Standby fee (Freddie/Wachovia)</v>
      </c>
      <c r="B50" s="395" t="s">
        <v>222</v>
      </c>
      <c r="C50" s="361"/>
      <c r="D50" s="1316">
        <f t="shared" si="1"/>
        <v>0</v>
      </c>
    </row>
    <row r="51" spans="1:4" ht="15">
      <c r="A51" s="411" t="str">
        <f>'2. Devel. Bud'!A48</f>
        <v>Tax Incentive Fees &amp; Consultant</v>
      </c>
      <c r="B51" s="395" t="s">
        <v>222</v>
      </c>
      <c r="C51" s="361"/>
      <c r="D51" s="1316">
        <f t="shared" si="1"/>
        <v>0</v>
      </c>
    </row>
    <row r="52" spans="1:4" ht="15">
      <c r="A52" s="411" t="str">
        <f>'2. Devel. Bud'!A49</f>
        <v>LIHTC Application Fee</v>
      </c>
      <c r="B52" s="395" t="s">
        <v>222</v>
      </c>
      <c r="C52" s="361"/>
      <c r="D52" s="1316">
        <f t="shared" si="1"/>
        <v>0</v>
      </c>
    </row>
    <row r="53" spans="1:4" ht="15">
      <c r="A53" s="411" t="str">
        <f>'2. Devel. Bud'!A50</f>
        <v>Non Profit Sponsor Fee</v>
      </c>
      <c r="B53" s="395" t="s">
        <v>222</v>
      </c>
      <c r="C53" s="361"/>
      <c r="D53" s="1316">
        <f t="shared" si="1"/>
        <v>0</v>
      </c>
    </row>
    <row r="54" spans="1:4" ht="15">
      <c r="A54" s="411" t="str">
        <f>'2. Devel. Bud'!A51</f>
        <v>Other (Specify:_________________)</v>
      </c>
      <c r="B54" s="1295"/>
      <c r="C54" s="361">
        <f>'2. Devel. Bud'!D51</f>
        <v>0</v>
      </c>
      <c r="D54" s="1317">
        <f>IF(B54="Y",(C54*$H$9),0)</f>
        <v>0</v>
      </c>
    </row>
    <row r="55" spans="1:4" ht="15">
      <c r="A55" s="414" t="str">
        <f>'2. Devel. Bud'!A52</f>
        <v>Subtotal</v>
      </c>
      <c r="B55" s="415"/>
      <c r="C55" s="412" t="e">
        <f>'2. Devel. Bud'!D52</f>
        <v>#DIV/0!</v>
      </c>
      <c r="D55" s="1324">
        <f>SUM(D40:D48)</f>
        <v>0</v>
      </c>
    </row>
    <row r="56" spans="1:8" ht="15">
      <c r="A56" s="411"/>
      <c r="B56" s="395"/>
      <c r="C56" s="361"/>
      <c r="D56" s="1320"/>
      <c r="H56" s="172"/>
    </row>
    <row r="57" spans="1:4" ht="15.75">
      <c r="A57" s="413" t="str">
        <f>'2. Devel. Bud'!A54</f>
        <v>Carrying Costs </v>
      </c>
      <c r="B57" s="395"/>
      <c r="C57" s="361"/>
      <c r="D57" s="1320"/>
    </row>
    <row r="58" spans="1:4" ht="15">
      <c r="A58" s="411" t="str">
        <f>'2. Devel. Bud'!A55</f>
        <v>Construction Interest</v>
      </c>
      <c r="B58" s="395" t="s">
        <v>223</v>
      </c>
      <c r="C58" s="361" t="e">
        <f>'2. Devel. Bud'!D55</f>
        <v>#DIV/0!</v>
      </c>
      <c r="D58" s="1297" t="e">
        <f aca="true" t="shared" si="2" ref="D58:D67">IF(B58="Y",(C58*$H$9),0)</f>
        <v>#DIV/0!</v>
      </c>
    </row>
    <row r="59" spans="1:4" ht="15">
      <c r="A59" s="411" t="str">
        <f>'2. Devel. Bud'!A56</f>
        <v>Negative Arbitrage</v>
      </c>
      <c r="B59" s="395" t="s">
        <v>223</v>
      </c>
      <c r="C59" s="361" t="e">
        <f>'2. Devel. Bud'!D56</f>
        <v>#DIV/0!</v>
      </c>
      <c r="D59" s="1321" t="e">
        <f t="shared" si="2"/>
        <v>#DIV/0!</v>
      </c>
    </row>
    <row r="60" spans="1:4" ht="15">
      <c r="A60" s="411" t="str">
        <f>'2. Devel. Bud'!A57</f>
        <v>Mortgage Recording Tax</v>
      </c>
      <c r="B60" s="395" t="s">
        <v>222</v>
      </c>
      <c r="C60" s="361">
        <f>'2. Devel. Bud'!D57</f>
        <v>0</v>
      </c>
      <c r="D60" s="1316">
        <f t="shared" si="2"/>
        <v>0</v>
      </c>
    </row>
    <row r="61" spans="1:4" ht="15">
      <c r="A61" s="411" t="str">
        <f>'2. Devel. Bud'!A58</f>
        <v>Water/Sewer &amp; Real Estate Taxes</v>
      </c>
      <c r="B61" s="395" t="s">
        <v>223</v>
      </c>
      <c r="C61" s="361">
        <f>'2. Devel. Bud'!D58</f>
        <v>0</v>
      </c>
      <c r="D61" s="1321" t="e">
        <f t="shared" si="2"/>
        <v>#DIV/0!</v>
      </c>
    </row>
    <row r="62" spans="1:4" ht="15">
      <c r="A62" s="411" t="str">
        <f>'2. Devel. Bud'!A59</f>
        <v>Utilities</v>
      </c>
      <c r="B62" s="395" t="s">
        <v>223</v>
      </c>
      <c r="C62" s="361">
        <f>'2. Devel. Bud'!D59</f>
        <v>0</v>
      </c>
      <c r="D62" s="1321" t="e">
        <f t="shared" si="2"/>
        <v>#DIV/0!</v>
      </c>
    </row>
    <row r="63" spans="1:4" ht="15">
      <c r="A63" s="411" t="str">
        <f>'2. Devel. Bud'!A60</f>
        <v>Insurance</v>
      </c>
      <c r="B63" s="395" t="s">
        <v>223</v>
      </c>
      <c r="C63" s="361">
        <f>'2. Devel. Bud'!D60</f>
        <v>0</v>
      </c>
      <c r="D63" s="1321" t="e">
        <f t="shared" si="2"/>
        <v>#DIV/0!</v>
      </c>
    </row>
    <row r="64" spans="1:4" ht="15">
      <c r="A64" s="411" t="str">
        <f>'2. Devel. Bud'!A61</f>
        <v>Construction Monitor</v>
      </c>
      <c r="B64" s="395" t="s">
        <v>223</v>
      </c>
      <c r="C64" s="361">
        <f>'2. Devel. Bud'!D61</f>
        <v>0</v>
      </c>
      <c r="D64" s="1321" t="e">
        <f t="shared" si="2"/>
        <v>#DIV/0!</v>
      </c>
    </row>
    <row r="65" spans="1:4" ht="15">
      <c r="A65" s="411" t="str">
        <f>'2. Devel. Bud'!A62</f>
        <v>Marketing</v>
      </c>
      <c r="B65" s="395" t="s">
        <v>222</v>
      </c>
      <c r="C65" s="361">
        <f>'2. Devel. Bud'!D62</f>
        <v>0</v>
      </c>
      <c r="D65" s="1316">
        <f t="shared" si="2"/>
        <v>0</v>
      </c>
    </row>
    <row r="66" spans="1:4" ht="15">
      <c r="A66" s="411" t="str">
        <f>'2. Devel. Bud'!A63</f>
        <v>Security</v>
      </c>
      <c r="B66" s="395" t="s">
        <v>223</v>
      </c>
      <c r="C66" s="361">
        <f>'2. Devel. Bud'!D63</f>
        <v>0</v>
      </c>
      <c r="D66" s="1321" t="e">
        <f t="shared" si="2"/>
        <v>#DIV/0!</v>
      </c>
    </row>
    <row r="67" spans="1:4" ht="15">
      <c r="A67" s="411" t="str">
        <f>'2. Devel. Bud'!A64</f>
        <v>Other (Specify:_________________)</v>
      </c>
      <c r="B67" s="1295"/>
      <c r="C67" s="361"/>
      <c r="D67" s="1319">
        <f t="shared" si="2"/>
        <v>0</v>
      </c>
    </row>
    <row r="68" spans="1:4" ht="15">
      <c r="A68" s="414" t="str">
        <f>'2. Devel. Bud'!A65</f>
        <v>Subtotal</v>
      </c>
      <c r="B68" s="415"/>
      <c r="C68" s="412" t="e">
        <f>'2. Devel. Bud'!D65</f>
        <v>#DIV/0!</v>
      </c>
      <c r="D68" s="1323" t="e">
        <f>SUM(D58:D66)</f>
        <v>#DIV/0!</v>
      </c>
    </row>
    <row r="69" spans="1:4" ht="15">
      <c r="A69" s="411"/>
      <c r="B69" s="395"/>
      <c r="C69" s="361"/>
      <c r="D69" s="1320"/>
    </row>
    <row r="70" spans="1:4" ht="15.75">
      <c r="A70" s="413" t="str">
        <f>'2. Devel. Bud'!A67</f>
        <v>Reserves and Contingency</v>
      </c>
      <c r="B70" s="395"/>
      <c r="C70" s="361"/>
      <c r="D70" s="1320"/>
    </row>
    <row r="71" spans="1:4" ht="15">
      <c r="A71" s="411" t="str">
        <f>'2. Devel. Bud'!A68</f>
        <v>Social Service Reserve</v>
      </c>
      <c r="B71" s="395" t="s">
        <v>222</v>
      </c>
      <c r="C71" s="361">
        <f>'2. Devel. Bud'!D68</f>
        <v>0</v>
      </c>
      <c r="D71" s="1318">
        <f>IF(B71="Y",(C71*$H$9),0)</f>
        <v>0</v>
      </c>
    </row>
    <row r="72" spans="1:4" ht="15">
      <c r="A72" s="411" t="str">
        <f>'2. Devel. Bud'!A69</f>
        <v>Capitalized Operating Reserve</v>
      </c>
      <c r="B72" s="395" t="s">
        <v>222</v>
      </c>
      <c r="C72" s="361">
        <f>'2. Devel. Bud'!D69</f>
        <v>0</v>
      </c>
      <c r="D72" s="1316">
        <f>IF(B72="Y",(C72*$H$9),0)</f>
        <v>0</v>
      </c>
    </row>
    <row r="73" spans="1:4" ht="15">
      <c r="A73" s="411" t="str">
        <f>'2. Devel. Bud'!A70</f>
        <v>Additional Operating Reserve (if applicable)</v>
      </c>
      <c r="B73" s="395" t="s">
        <v>222</v>
      </c>
      <c r="C73" s="361">
        <f>'2. Devel. Bud'!D70</f>
        <v>0</v>
      </c>
      <c r="D73" s="1316">
        <f>IF(B73="Y",(C73*$H$9),0)</f>
        <v>0</v>
      </c>
    </row>
    <row r="74" spans="1:4" ht="15">
      <c r="A74" s="411" t="str">
        <f>'2. Devel. Bud'!A71</f>
        <v>Soft Cost Contingency</v>
      </c>
      <c r="B74" s="395" t="s">
        <v>223</v>
      </c>
      <c r="C74" s="361">
        <f>'2. Devel. Bud'!D71</f>
        <v>0</v>
      </c>
      <c r="D74" s="1319" t="e">
        <f>IF(B74="Y",(C74*$H$9),0)</f>
        <v>#DIV/0!</v>
      </c>
    </row>
    <row r="75" spans="1:4" ht="15">
      <c r="A75" s="414" t="str">
        <f>'2. Devel. Bud'!A72</f>
        <v>Subtotal</v>
      </c>
      <c r="B75" s="395"/>
      <c r="C75" s="412">
        <f>'2. Devel. Bud'!D72</f>
        <v>0</v>
      </c>
      <c r="D75" s="1323" t="e">
        <f>SUM(D70:D74)</f>
        <v>#DIV/0!</v>
      </c>
    </row>
    <row r="76" spans="1:4" ht="15">
      <c r="A76" s="411"/>
      <c r="B76" s="395"/>
      <c r="C76" s="361"/>
      <c r="D76" s="1320"/>
    </row>
    <row r="77" spans="1:4" ht="15">
      <c r="A77" s="410" t="str">
        <f>'2. Devel. Bud'!A74</f>
        <v>Total Soft Costs</v>
      </c>
      <c r="B77" s="395"/>
      <c r="C77" s="412" t="e">
        <f>'2. Devel. Bud'!D74</f>
        <v>#DIV/0!</v>
      </c>
      <c r="D77" s="1323" t="e">
        <f>D37+D55+D68+D75</f>
        <v>#DIV/0!</v>
      </c>
    </row>
    <row r="78" spans="1:4" ht="15">
      <c r="A78" s="411"/>
      <c r="B78" s="395"/>
      <c r="C78" s="361"/>
      <c r="D78" s="1320"/>
    </row>
    <row r="79" spans="1:4" ht="15.75">
      <c r="A79" s="413" t="str">
        <f>'2. Devel. Bud'!A76</f>
        <v>Developer's Fee</v>
      </c>
      <c r="B79" s="395" t="s">
        <v>223</v>
      </c>
      <c r="C79" s="361">
        <f>'2. Devel. Bud'!D76</f>
        <v>0</v>
      </c>
      <c r="D79" s="1321" t="e">
        <f>IF(B79="Y",(C79*$H$9),0)</f>
        <v>#DIV/0!</v>
      </c>
    </row>
    <row r="80" spans="1:4" ht="15">
      <c r="A80" s="411"/>
      <c r="B80" s="395"/>
      <c r="C80" s="361"/>
      <c r="D80" s="1320"/>
    </row>
    <row r="81" spans="1:4" ht="15.75">
      <c r="A81" s="416" t="str">
        <f>'2. Devel. Bud'!A79</f>
        <v>Total Development Cost:</v>
      </c>
      <c r="B81" s="417"/>
      <c r="C81" s="426" t="e">
        <f>'2. Devel. Bud'!D79</f>
        <v>#DIV/0!</v>
      </c>
      <c r="D81" s="1325" t="e">
        <f>D18+D77+D79</f>
        <v>#DIV/0!</v>
      </c>
    </row>
    <row r="82" spans="2:4" ht="15.75">
      <c r="B82" s="395"/>
      <c r="C82" s="1299"/>
      <c r="D82" s="1299"/>
    </row>
    <row r="83" spans="2:4" ht="15">
      <c r="B83" s="395"/>
      <c r="C83" s="792"/>
      <c r="D83" s="172"/>
    </row>
  </sheetData>
  <sheetProtection/>
  <printOptions/>
  <pageMargins left="0.75" right="0.75" top="1" bottom="1" header="0.5" footer="0.5"/>
  <pageSetup firstPageNumber="213" useFirstPageNumber="1" fitToHeight="1" fitToWidth="1" horizontalDpi="600" verticalDpi="600" orientation="portrait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F36"/>
  <sheetViews>
    <sheetView zoomScale="85" zoomScaleNormal="85" zoomScalePageLayoutView="0" workbookViewId="0" topLeftCell="A1">
      <selection activeCell="A3" sqref="A3"/>
    </sheetView>
  </sheetViews>
  <sheetFormatPr defaultColWidth="7.10546875" defaultRowHeight="15"/>
  <cols>
    <col min="1" max="1" width="3.4453125" style="458" customWidth="1"/>
    <col min="2" max="2" width="18.5546875" style="454" bestFit="1" customWidth="1"/>
    <col min="3" max="3" width="17.77734375" style="454" customWidth="1"/>
    <col min="4" max="4" width="16.6640625" style="461" customWidth="1"/>
    <col min="5" max="16384" width="7.10546875" style="454" customWidth="1"/>
  </cols>
  <sheetData>
    <row r="1" spans="1:6" s="44" customFormat="1" ht="16.5" customHeight="1">
      <c r="A1" s="1" t="str">
        <f>'2. Sources and Use'!A1</f>
        <v>Willets Point Phase 1 Development</v>
      </c>
      <c r="C1" s="24"/>
      <c r="D1" s="445" t="str">
        <f>'2. Sources and Use'!C2</f>
        <v>Units:</v>
      </c>
      <c r="E1" s="1">
        <f>'2. Units &amp; Income'!B24</f>
        <v>0</v>
      </c>
      <c r="F1" s="25"/>
    </row>
    <row r="2" spans="1:6" s="44" customFormat="1" ht="16.5" customHeight="1">
      <c r="A2" s="1" t="str">
        <f>'2. Sources and Use'!A2</f>
        <v>Building 2</v>
      </c>
      <c r="C2" s="24"/>
      <c r="D2" s="84"/>
      <c r="E2" s="1"/>
      <c r="F2" s="25"/>
    </row>
    <row r="4" spans="1:4" s="456" customFormat="1" ht="12.75">
      <c r="A4" s="455" t="s">
        <v>250</v>
      </c>
      <c r="D4" s="457" t="s">
        <v>251</v>
      </c>
    </row>
    <row r="6" spans="1:4" ht="20.25" customHeight="1">
      <c r="A6" s="458">
        <v>1</v>
      </c>
      <c r="B6" s="454" t="s">
        <v>252</v>
      </c>
      <c r="D6" s="459"/>
    </row>
    <row r="7" spans="1:4" ht="20.25" customHeight="1">
      <c r="A7" s="458">
        <v>2</v>
      </c>
      <c r="B7" s="454" t="s">
        <v>253</v>
      </c>
      <c r="D7" s="459"/>
    </row>
    <row r="8" spans="1:4" ht="20.25" customHeight="1">
      <c r="A8" s="458">
        <v>3</v>
      </c>
      <c r="B8" s="481" t="s">
        <v>282</v>
      </c>
      <c r="D8" s="459"/>
    </row>
    <row r="9" spans="1:4" ht="20.25" customHeight="1">
      <c r="A9" s="458">
        <v>4</v>
      </c>
      <c r="B9" s="454" t="s">
        <v>254</v>
      </c>
      <c r="D9" s="459"/>
    </row>
    <row r="10" spans="1:4" ht="20.25" customHeight="1">
      <c r="A10" s="458">
        <v>5</v>
      </c>
      <c r="B10" s="454" t="s">
        <v>255</v>
      </c>
      <c r="D10" s="459"/>
    </row>
    <row r="11" spans="1:4" ht="20.25" customHeight="1">
      <c r="A11" s="458" t="s">
        <v>256</v>
      </c>
      <c r="B11" s="454" t="s">
        <v>257</v>
      </c>
      <c r="D11" s="459"/>
    </row>
    <row r="12" spans="1:4" ht="20.25" customHeight="1">
      <c r="A12" s="458" t="s">
        <v>258</v>
      </c>
      <c r="B12" s="454" t="s">
        <v>259</v>
      </c>
      <c r="D12" s="459"/>
    </row>
    <row r="13" spans="1:4" ht="20.25" customHeight="1">
      <c r="A13" s="458">
        <v>7</v>
      </c>
      <c r="B13" s="454" t="s">
        <v>260</v>
      </c>
      <c r="D13" s="459"/>
    </row>
    <row r="14" spans="1:4" ht="20.25" customHeight="1">
      <c r="A14" s="458">
        <v>8</v>
      </c>
      <c r="B14" s="454" t="s">
        <v>261</v>
      </c>
      <c r="D14" s="459"/>
    </row>
    <row r="15" spans="1:4" ht="20.25" customHeight="1">
      <c r="A15" s="458">
        <v>9</v>
      </c>
      <c r="B15" s="454" t="s">
        <v>262</v>
      </c>
      <c r="D15" s="459"/>
    </row>
    <row r="16" spans="1:4" ht="20.25" customHeight="1">
      <c r="A16" s="458">
        <v>10</v>
      </c>
      <c r="B16" s="454" t="s">
        <v>263</v>
      </c>
      <c r="D16" s="459"/>
    </row>
    <row r="17" spans="1:4" ht="20.25" customHeight="1">
      <c r="A17" s="458">
        <v>11</v>
      </c>
      <c r="B17" s="454" t="s">
        <v>264</v>
      </c>
      <c r="D17" s="459"/>
    </row>
    <row r="18" spans="1:4" ht="20.25" customHeight="1">
      <c r="A18" s="458">
        <v>12</v>
      </c>
      <c r="B18" s="454" t="s">
        <v>265</v>
      </c>
      <c r="D18" s="459"/>
    </row>
    <row r="19" spans="1:4" ht="20.25" customHeight="1">
      <c r="A19" s="458">
        <v>13</v>
      </c>
      <c r="B19" s="454" t="s">
        <v>266</v>
      </c>
      <c r="D19" s="459"/>
    </row>
    <row r="20" spans="1:4" ht="20.25" customHeight="1">
      <c r="A20" s="458">
        <v>14</v>
      </c>
      <c r="B20" s="454" t="s">
        <v>267</v>
      </c>
      <c r="D20" s="459"/>
    </row>
    <row r="21" spans="1:4" ht="20.25" customHeight="1">
      <c r="A21" s="458">
        <v>15</v>
      </c>
      <c r="B21" s="454" t="s">
        <v>268</v>
      </c>
      <c r="D21" s="459"/>
    </row>
    <row r="22" spans="1:4" ht="20.25" customHeight="1">
      <c r="A22" s="458">
        <v>16</v>
      </c>
      <c r="B22" s="454" t="s">
        <v>269</v>
      </c>
      <c r="D22" s="459"/>
    </row>
    <row r="23" spans="1:4" ht="20.25" customHeight="1">
      <c r="A23" s="458" t="s">
        <v>270</v>
      </c>
      <c r="B23" s="454" t="s">
        <v>20</v>
      </c>
      <c r="D23" s="459"/>
    </row>
    <row r="24" spans="1:4" ht="20.25" customHeight="1">
      <c r="A24" s="458" t="s">
        <v>271</v>
      </c>
      <c r="B24" s="454" t="s">
        <v>272</v>
      </c>
      <c r="D24" s="459"/>
    </row>
    <row r="25" spans="1:4" ht="20.25" customHeight="1">
      <c r="A25" s="458">
        <v>18</v>
      </c>
      <c r="B25" s="454" t="s">
        <v>273</v>
      </c>
      <c r="D25" s="459"/>
    </row>
    <row r="26" spans="1:4" ht="20.25" customHeight="1">
      <c r="A26" s="458">
        <v>19</v>
      </c>
      <c r="B26" s="454" t="s">
        <v>274</v>
      </c>
      <c r="D26" s="459"/>
    </row>
    <row r="27" spans="1:4" ht="20.25" customHeight="1">
      <c r="A27" s="458">
        <v>20</v>
      </c>
      <c r="B27" s="454" t="s">
        <v>275</v>
      </c>
      <c r="D27" s="459"/>
    </row>
    <row r="28" spans="1:4" ht="20.25" customHeight="1">
      <c r="A28" s="458">
        <v>21</v>
      </c>
      <c r="B28" s="454" t="s">
        <v>276</v>
      </c>
      <c r="D28" s="459"/>
    </row>
    <row r="29" spans="1:4" ht="20.25" customHeight="1">
      <c r="A29" s="458">
        <v>22</v>
      </c>
      <c r="B29" s="454" t="s">
        <v>277</v>
      </c>
      <c r="D29" s="459"/>
    </row>
    <row r="30" spans="1:4" ht="20.25" customHeight="1">
      <c r="A30" s="458">
        <v>23</v>
      </c>
      <c r="B30" s="454" t="s">
        <v>277</v>
      </c>
      <c r="D30" s="459"/>
    </row>
    <row r="31" spans="1:4" ht="20.25" customHeight="1">
      <c r="A31" s="460">
        <v>24</v>
      </c>
      <c r="B31" s="454" t="s">
        <v>277</v>
      </c>
      <c r="D31" s="459"/>
    </row>
    <row r="32" spans="1:4" s="456" customFormat="1" ht="20.25" customHeight="1">
      <c r="A32" s="455">
        <v>25</v>
      </c>
      <c r="B32" s="456" t="s">
        <v>289</v>
      </c>
      <c r="D32" s="459">
        <f>SUM(D6:D31)</f>
        <v>0</v>
      </c>
    </row>
    <row r="33" spans="1:4" ht="20.25" customHeight="1">
      <c r="A33" s="458">
        <v>26</v>
      </c>
      <c r="B33" s="454" t="s">
        <v>108</v>
      </c>
      <c r="D33" s="459"/>
    </row>
    <row r="34" spans="1:4" ht="20.25" customHeight="1">
      <c r="A34" s="458">
        <v>27</v>
      </c>
      <c r="B34" s="454" t="s">
        <v>278</v>
      </c>
      <c r="D34" s="459"/>
    </row>
    <row r="35" spans="1:4" ht="20.25" customHeight="1">
      <c r="A35" s="460">
        <v>28</v>
      </c>
      <c r="B35" s="454" t="s">
        <v>279</v>
      </c>
      <c r="D35" s="459"/>
    </row>
    <row r="36" spans="1:4" s="456" customFormat="1" ht="20.25" customHeight="1">
      <c r="A36" s="456">
        <v>29</v>
      </c>
      <c r="B36" s="456" t="s">
        <v>290</v>
      </c>
      <c r="D36" s="459">
        <f>SUM(D32:D35)</f>
        <v>0</v>
      </c>
    </row>
  </sheetData>
  <sheetProtection/>
  <printOptions horizontalCentered="1"/>
  <pageMargins left="0.75" right="0.75" top="1" bottom="1" header="0.5" footer="0.5"/>
  <pageSetup firstPageNumber="214" useFirstPageNumber="1" fitToHeight="1" fitToWidth="1" horizontalDpi="600" verticalDpi="600" orientation="portrait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L154"/>
  <sheetViews>
    <sheetView view="pageBreakPreview" zoomScale="85" zoomScaleNormal="85" zoomScaleSheetLayoutView="85" zoomScalePageLayoutView="0" workbookViewId="0" topLeftCell="A1">
      <selection activeCell="I20" sqref="I20"/>
    </sheetView>
  </sheetViews>
  <sheetFormatPr defaultColWidth="7.10546875" defaultRowHeight="15"/>
  <cols>
    <col min="1" max="1" width="26.88671875" style="601" customWidth="1"/>
    <col min="2" max="2" width="13.4453125" style="601" customWidth="1"/>
    <col min="3" max="3" width="7.21484375" style="770" customWidth="1"/>
    <col min="4" max="4" width="13.3359375" style="601" customWidth="1"/>
    <col min="5" max="5" width="6.21484375" style="601" customWidth="1"/>
    <col min="6" max="6" width="13.77734375" style="601" customWidth="1"/>
    <col min="7" max="7" width="6.21484375" style="601" customWidth="1"/>
    <col min="8" max="8" width="9.88671875" style="602" customWidth="1"/>
    <col min="9" max="9" width="7.10546875" style="602" customWidth="1"/>
    <col min="10" max="10" width="4.5546875" style="602" customWidth="1"/>
    <col min="11" max="16384" width="7.10546875" style="602" customWidth="1"/>
  </cols>
  <sheetData>
    <row r="1" ht="15.75">
      <c r="A1" s="1370" t="str">
        <f>'2. Sources and Use'!A1</f>
        <v>Willets Point Phase 1 Development</v>
      </c>
    </row>
    <row r="2" ht="15.75">
      <c r="A2" s="1370"/>
    </row>
    <row r="3" ht="15">
      <c r="A3" s="600" t="s">
        <v>379</v>
      </c>
    </row>
    <row r="4" ht="13.5" thickBot="1">
      <c r="A4" s="1253"/>
    </row>
    <row r="5" spans="1:7" ht="12.75">
      <c r="A5" s="603"/>
      <c r="B5" s="1381" t="s">
        <v>380</v>
      </c>
      <c r="C5" s="1382"/>
      <c r="D5" s="1382"/>
      <c r="E5" s="1382"/>
      <c r="F5" s="1382"/>
      <c r="G5" s="1383"/>
    </row>
    <row r="6" spans="1:7" ht="12.75" customHeight="1">
      <c r="A6" s="604"/>
      <c r="B6" s="605"/>
      <c r="C6" s="771"/>
      <c r="D6" s="605"/>
      <c r="E6" s="606"/>
      <c r="F6" s="605"/>
      <c r="G6" s="607"/>
    </row>
    <row r="7" spans="1:7" ht="12.75">
      <c r="A7" s="608"/>
      <c r="B7" s="609" t="s">
        <v>388</v>
      </c>
      <c r="C7" s="772"/>
      <c r="D7" s="609" t="s">
        <v>390</v>
      </c>
      <c r="E7" s="610"/>
      <c r="F7" s="609" t="s">
        <v>0</v>
      </c>
      <c r="G7" s="611"/>
    </row>
    <row r="8" spans="1:9" ht="12.75">
      <c r="A8" s="612" t="s">
        <v>381</v>
      </c>
      <c r="B8" s="613"/>
      <c r="C8" s="773"/>
      <c r="D8" s="613"/>
      <c r="E8" s="614"/>
      <c r="F8" s="613"/>
      <c r="G8" s="615"/>
      <c r="H8" s="1384" t="s">
        <v>503</v>
      </c>
      <c r="I8" s="1385"/>
    </row>
    <row r="9" spans="1:9" ht="12.75">
      <c r="A9" s="616" t="s">
        <v>382</v>
      </c>
      <c r="B9" s="1386"/>
      <c r="C9" s="1387"/>
      <c r="D9" s="1387"/>
      <c r="E9" s="1387"/>
      <c r="F9" s="1387"/>
      <c r="G9" s="1388"/>
      <c r="H9" s="1384"/>
      <c r="I9" s="1385"/>
    </row>
    <row r="10" spans="1:7" ht="12.75">
      <c r="A10" s="616" t="s">
        <v>383</v>
      </c>
      <c r="B10" s="1386"/>
      <c r="C10" s="1387"/>
      <c r="D10" s="1387"/>
      <c r="E10" s="1387"/>
      <c r="F10" s="1387"/>
      <c r="G10" s="1388"/>
    </row>
    <row r="11" spans="1:7" ht="12.75">
      <c r="A11" s="617"/>
      <c r="B11" s="618"/>
      <c r="C11" s="774"/>
      <c r="D11" s="618"/>
      <c r="E11" s="774"/>
      <c r="F11" s="618"/>
      <c r="G11" s="774"/>
    </row>
    <row r="12" spans="1:7" ht="12.75">
      <c r="A12" s="619" t="s">
        <v>384</v>
      </c>
      <c r="B12" s="620"/>
      <c r="C12" s="775"/>
      <c r="D12" s="620"/>
      <c r="E12" s="775"/>
      <c r="F12" s="620"/>
      <c r="G12" s="775"/>
    </row>
    <row r="13" spans="1:7" ht="12.75">
      <c r="A13" s="621" t="s">
        <v>385</v>
      </c>
      <c r="B13" s="646">
        <f>'1. Fl Area Summary'!D19</f>
        <v>0</v>
      </c>
      <c r="C13" s="796"/>
      <c r="D13" s="646">
        <f>'2. Fl Area Summary'!D19</f>
        <v>0</v>
      </c>
      <c r="E13" s="796"/>
      <c r="F13" s="646">
        <f>SUM(D13,B13)</f>
        <v>0</v>
      </c>
      <c r="G13" s="796"/>
    </row>
    <row r="14" spans="1:7" ht="12.75">
      <c r="A14" s="616" t="s">
        <v>386</v>
      </c>
      <c r="B14" s="639">
        <f>'1. Fl Area Summary'!D20</f>
        <v>0</v>
      </c>
      <c r="C14" s="628"/>
      <c r="D14" s="639">
        <f>'2. Fl Area Summary'!D20</f>
        <v>0</v>
      </c>
      <c r="E14" s="628"/>
      <c r="F14" s="639">
        <f aca="true" t="shared" si="0" ref="F14:F22">SUM(D14,B14)</f>
        <v>0</v>
      </c>
      <c r="G14" s="628"/>
    </row>
    <row r="15" spans="1:7" ht="12.75">
      <c r="A15" s="616" t="s">
        <v>387</v>
      </c>
      <c r="B15" s="639">
        <f>'1. Fl Area Summary'!D21</f>
        <v>0</v>
      </c>
      <c r="C15" s="628"/>
      <c r="D15" s="639">
        <f>'2. Fl Area Summary'!D21</f>
        <v>0</v>
      </c>
      <c r="E15" s="628"/>
      <c r="F15" s="639">
        <f t="shared" si="0"/>
        <v>0</v>
      </c>
      <c r="G15" s="628"/>
    </row>
    <row r="16" spans="1:8" ht="12.75">
      <c r="A16" s="623" t="s">
        <v>389</v>
      </c>
      <c r="B16" s="624">
        <f>'1. Fl Area Summary'!D15</f>
        <v>0</v>
      </c>
      <c r="C16" s="626"/>
      <c r="D16" s="624">
        <f>'2. Fl Area Summary'!D15</f>
        <v>0</v>
      </c>
      <c r="E16" s="626"/>
      <c r="F16" s="624">
        <f t="shared" si="0"/>
        <v>0</v>
      </c>
      <c r="G16" s="626"/>
      <c r="H16" s="625"/>
    </row>
    <row r="17" spans="1:7" ht="12.75">
      <c r="A17" s="623" t="s">
        <v>391</v>
      </c>
      <c r="B17" s="624">
        <f>'1. Fl Area Summary'!D9</f>
        <v>0</v>
      </c>
      <c r="C17" s="626"/>
      <c r="D17" s="624">
        <f>'2. Fl Area Summary'!D9</f>
        <v>0</v>
      </c>
      <c r="E17" s="626"/>
      <c r="F17" s="624">
        <f t="shared" si="0"/>
        <v>0</v>
      </c>
      <c r="G17" s="626"/>
    </row>
    <row r="18" spans="1:7" ht="12.75">
      <c r="A18" s="623" t="s">
        <v>392</v>
      </c>
      <c r="B18" s="624">
        <f>'1. Fl Area Summary'!D11</f>
        <v>0</v>
      </c>
      <c r="C18" s="626"/>
      <c r="D18" s="624">
        <f>'2. Fl Area Summary'!D11</f>
        <v>0</v>
      </c>
      <c r="E18" s="626"/>
      <c r="F18" s="624">
        <f t="shared" si="0"/>
        <v>0</v>
      </c>
      <c r="G18" s="626"/>
    </row>
    <row r="19" spans="1:7" ht="12.75">
      <c r="A19" s="616" t="s">
        <v>393</v>
      </c>
      <c r="B19" s="624">
        <f>'1. Fl Area Summary'!D12</f>
        <v>0</v>
      </c>
      <c r="C19" s="628"/>
      <c r="D19" s="624">
        <f>'2. Fl Area Summary'!D12</f>
        <v>0</v>
      </c>
      <c r="E19" s="628"/>
      <c r="F19" s="624">
        <f t="shared" si="0"/>
        <v>0</v>
      </c>
      <c r="G19" s="628"/>
    </row>
    <row r="20" spans="1:7" ht="12.75">
      <c r="A20" s="623" t="s">
        <v>350</v>
      </c>
      <c r="B20" s="624">
        <f>'1. Fl Area Summary'!D13</f>
        <v>0</v>
      </c>
      <c r="C20" s="626"/>
      <c r="D20" s="624">
        <f>'2. Fl Area Summary'!D13</f>
        <v>0</v>
      </c>
      <c r="E20" s="626"/>
      <c r="F20" s="624">
        <f t="shared" si="0"/>
        <v>0</v>
      </c>
      <c r="G20" s="626"/>
    </row>
    <row r="21" spans="1:7" ht="12.75">
      <c r="A21" s="623" t="s">
        <v>489</v>
      </c>
      <c r="B21" s="624">
        <f>'1. Fl Area Summary'!D14</f>
        <v>0</v>
      </c>
      <c r="C21" s="626"/>
      <c r="D21" s="624">
        <f>'2. Fl Area Summary'!D14</f>
        <v>0</v>
      </c>
      <c r="E21" s="626"/>
      <c r="F21" s="624">
        <f t="shared" si="0"/>
        <v>0</v>
      </c>
      <c r="G21" s="626"/>
    </row>
    <row r="22" spans="1:7" ht="12.75">
      <c r="A22" s="744" t="s">
        <v>490</v>
      </c>
      <c r="B22" s="745">
        <f>'1. Fl Area Summary'!D15</f>
        <v>0</v>
      </c>
      <c r="C22" s="746"/>
      <c r="D22" s="745">
        <f>'2. Fl Area Summary'!D15</f>
        <v>0</v>
      </c>
      <c r="E22" s="746"/>
      <c r="F22" s="745">
        <f t="shared" si="0"/>
        <v>0</v>
      </c>
      <c r="G22" s="746"/>
    </row>
    <row r="23" spans="1:7" ht="15">
      <c r="A23" s="656" t="s">
        <v>394</v>
      </c>
      <c r="B23" s="786"/>
      <c r="C23" s="785" t="s">
        <v>395</v>
      </c>
      <c r="D23" s="786"/>
      <c r="E23" s="785" t="s">
        <v>395</v>
      </c>
      <c r="F23" s="786"/>
      <c r="G23" s="785" t="s">
        <v>395</v>
      </c>
    </row>
    <row r="24" spans="1:12" ht="12.75">
      <c r="A24" s="616" t="s">
        <v>396</v>
      </c>
      <c r="B24" s="624">
        <f>'1. Units &amp; Income'!H98</f>
        <v>0</v>
      </c>
      <c r="C24" s="631" t="e">
        <f aca="true" t="shared" si="1" ref="C24:C29">B24/$B$30</f>
        <v>#DIV/0!</v>
      </c>
      <c r="D24" s="624">
        <f>'2. Units &amp; Income'!H98</f>
        <v>0</v>
      </c>
      <c r="E24" s="631" t="e">
        <f aca="true" t="shared" si="2" ref="E24:E29">D24/$D$30</f>
        <v>#DIV/0!</v>
      </c>
      <c r="F24" s="624">
        <f aca="true" t="shared" si="3" ref="F24:F29">B24+D24</f>
        <v>0</v>
      </c>
      <c r="G24" s="631" t="e">
        <f aca="true" t="shared" si="4" ref="G24:G29">F24/$F$30</f>
        <v>#DIV/0!</v>
      </c>
      <c r="K24" s="632"/>
      <c r="L24" s="632"/>
    </row>
    <row r="25" spans="1:7" ht="12.75">
      <c r="A25" s="616" t="s">
        <v>397</v>
      </c>
      <c r="B25" s="624">
        <f>SUM('1. Units &amp; Income'!H90,'1. Units &amp; Income'!H82,'1. Units &amp; Income'!H74,'1. Units &amp; Income'!H66,'1. Units &amp; Income'!H58)</f>
        <v>0</v>
      </c>
      <c r="C25" s="631" t="e">
        <f t="shared" si="1"/>
        <v>#DIV/0!</v>
      </c>
      <c r="D25" s="624">
        <f>SUM('2. Units &amp; Income'!H90,'2. Units &amp; Income'!H82,'2. Units &amp; Income'!H74,'2. Units &amp; Income'!H66,'2. Units &amp; Income'!H58)</f>
        <v>0</v>
      </c>
      <c r="E25" s="631" t="e">
        <f t="shared" si="2"/>
        <v>#DIV/0!</v>
      </c>
      <c r="F25" s="624">
        <f t="shared" si="3"/>
        <v>0</v>
      </c>
      <c r="G25" s="631" t="e">
        <f t="shared" si="4"/>
        <v>#DIV/0!</v>
      </c>
    </row>
    <row r="26" spans="1:7" ht="12.75">
      <c r="A26" s="683" t="s">
        <v>399</v>
      </c>
      <c r="B26" s="624"/>
      <c r="C26" s="631" t="e">
        <f t="shared" si="1"/>
        <v>#DIV/0!</v>
      </c>
      <c r="D26" s="624"/>
      <c r="E26" s="631" t="e">
        <f t="shared" si="2"/>
        <v>#DIV/0!</v>
      </c>
      <c r="F26" s="624">
        <f t="shared" si="3"/>
        <v>0</v>
      </c>
      <c r="G26" s="631" t="e">
        <f t="shared" si="4"/>
        <v>#DIV/0!</v>
      </c>
    </row>
    <row r="27" spans="1:7" ht="12.75">
      <c r="A27" s="636" t="s">
        <v>400</v>
      </c>
      <c r="B27" s="624">
        <f>'1. Units &amp; Income'!H100</f>
        <v>0</v>
      </c>
      <c r="C27" s="631" t="e">
        <f t="shared" si="1"/>
        <v>#DIV/0!</v>
      </c>
      <c r="D27" s="624">
        <f>'2. Units &amp; Income'!H100</f>
        <v>0</v>
      </c>
      <c r="E27" s="631" t="e">
        <f t="shared" si="2"/>
        <v>#DIV/0!</v>
      </c>
      <c r="F27" s="624">
        <f t="shared" si="3"/>
        <v>0</v>
      </c>
      <c r="G27" s="631" t="e">
        <f t="shared" si="4"/>
        <v>#DIV/0!</v>
      </c>
    </row>
    <row r="28" spans="1:7" ht="12.75">
      <c r="A28" s="633" t="s">
        <v>402</v>
      </c>
      <c r="B28" s="624">
        <f>'1. Units &amp; Income'!C102</f>
        <v>0</v>
      </c>
      <c r="C28" s="631" t="e">
        <f t="shared" si="1"/>
        <v>#DIV/0!</v>
      </c>
      <c r="D28" s="624">
        <f>'2. Units &amp; Income'!C102</f>
        <v>0</v>
      </c>
      <c r="E28" s="631" t="e">
        <f t="shared" si="2"/>
        <v>#DIV/0!</v>
      </c>
      <c r="F28" s="624">
        <f t="shared" si="3"/>
        <v>0</v>
      </c>
      <c r="G28" s="631" t="e">
        <f t="shared" si="4"/>
        <v>#DIV/0!</v>
      </c>
    </row>
    <row r="29" spans="1:7" ht="12.75">
      <c r="A29" s="633" t="s">
        <v>404</v>
      </c>
      <c r="B29" s="624">
        <f>'1. Units &amp; Income'!C103</f>
        <v>0</v>
      </c>
      <c r="C29" s="631" t="e">
        <f t="shared" si="1"/>
        <v>#DIV/0!</v>
      </c>
      <c r="D29" s="624">
        <f>'2. Units &amp; Income'!C103</f>
        <v>0</v>
      </c>
      <c r="E29" s="631" t="e">
        <f t="shared" si="2"/>
        <v>#DIV/0!</v>
      </c>
      <c r="F29" s="624">
        <f t="shared" si="3"/>
        <v>0</v>
      </c>
      <c r="G29" s="631" t="e">
        <f t="shared" si="4"/>
        <v>#DIV/0!</v>
      </c>
    </row>
    <row r="30" spans="1:7" ht="12.75">
      <c r="A30" s="1312" t="s">
        <v>0</v>
      </c>
      <c r="B30" s="1313">
        <f>B24+B25</f>
        <v>0</v>
      </c>
      <c r="C30" s="1314"/>
      <c r="D30" s="1313">
        <f>D24+D25</f>
        <v>0</v>
      </c>
      <c r="E30" s="1314"/>
      <c r="F30" s="1313">
        <f>F24+F25</f>
        <v>0</v>
      </c>
      <c r="G30" s="1314"/>
    </row>
    <row r="31" spans="1:7" ht="12.75">
      <c r="A31" s="1309" t="s">
        <v>649</v>
      </c>
      <c r="B31" s="1310">
        <f>'1. Units &amp; Income'!E24</f>
        <v>0</v>
      </c>
      <c r="C31" s="1311"/>
      <c r="D31" s="1310">
        <f>'2. Units &amp; Income'!E24</f>
        <v>0</v>
      </c>
      <c r="E31" s="1311"/>
      <c r="F31" s="1310">
        <f>B31+D31</f>
        <v>0</v>
      </c>
      <c r="G31" s="1311"/>
    </row>
    <row r="32" spans="1:7" ht="15">
      <c r="A32" s="656" t="s">
        <v>405</v>
      </c>
      <c r="B32" s="1308"/>
      <c r="C32" s="785" t="s">
        <v>395</v>
      </c>
      <c r="D32" s="1308"/>
      <c r="E32" s="785" t="s">
        <v>395</v>
      </c>
      <c r="F32" s="1308"/>
      <c r="G32" s="785" t="s">
        <v>395</v>
      </c>
    </row>
    <row r="33" spans="1:7" ht="12.75">
      <c r="A33" s="636" t="s">
        <v>406</v>
      </c>
      <c r="B33" s="1341">
        <f>SUM(B38:B43)</f>
        <v>0</v>
      </c>
      <c r="C33" s="637" t="e">
        <f>B33/$B$37</f>
        <v>#DIV/0!</v>
      </c>
      <c r="D33" s="1341">
        <f>SUM(D38:D43)</f>
        <v>0</v>
      </c>
      <c r="E33" s="637" t="e">
        <f>D33/$D$37</f>
        <v>#DIV/0!</v>
      </c>
      <c r="F33" s="756">
        <f>B33+D33</f>
        <v>0</v>
      </c>
      <c r="G33" s="637" t="e">
        <f>F33/$F$37</f>
        <v>#DIV/0!</v>
      </c>
    </row>
    <row r="34" spans="1:7" ht="12.75">
      <c r="A34" s="636" t="s">
        <v>407</v>
      </c>
      <c r="B34" s="1342">
        <f>SUM(B44:B48)</f>
        <v>0</v>
      </c>
      <c r="C34" s="637" t="e">
        <f>B34/$B$37</f>
        <v>#DIV/0!</v>
      </c>
      <c r="D34" s="1342">
        <f>SUM(D44:D48)</f>
        <v>0</v>
      </c>
      <c r="E34" s="637" t="e">
        <f>D34/$D$37</f>
        <v>#DIV/0!</v>
      </c>
      <c r="F34" s="757">
        <f>B34+D34</f>
        <v>0</v>
      </c>
      <c r="G34" s="637" t="e">
        <f>F34/$F$37</f>
        <v>#DIV/0!</v>
      </c>
    </row>
    <row r="35" spans="1:7" ht="12.75">
      <c r="A35" s="636" t="s">
        <v>408</v>
      </c>
      <c r="B35" s="1342">
        <f>SUM(B49:B51)</f>
        <v>0</v>
      </c>
      <c r="C35" s="637" t="e">
        <f>B35/$B$37</f>
        <v>#DIV/0!</v>
      </c>
      <c r="D35" s="1342">
        <f>SUM(D49:D51)</f>
        <v>0</v>
      </c>
      <c r="E35" s="637" t="e">
        <f>D35/$D$37</f>
        <v>#DIV/0!</v>
      </c>
      <c r="F35" s="757">
        <f>B35+D35</f>
        <v>0</v>
      </c>
      <c r="G35" s="637" t="e">
        <f>F35/$F$37</f>
        <v>#DIV/0!</v>
      </c>
    </row>
    <row r="36" spans="1:12" ht="12.75">
      <c r="A36" s="616" t="s">
        <v>409</v>
      </c>
      <c r="B36" s="757">
        <f>'1. Units &amp; Income'!H98</f>
        <v>0</v>
      </c>
      <c r="C36" s="637" t="e">
        <f>B36/$B$37</f>
        <v>#DIV/0!</v>
      </c>
      <c r="D36" s="757">
        <f>'2. Units &amp; Income'!H98</f>
        <v>0</v>
      </c>
      <c r="E36" s="637" t="e">
        <f>D36/$D$37</f>
        <v>#DIV/0!</v>
      </c>
      <c r="F36" s="757">
        <f>B36+D36</f>
        <v>0</v>
      </c>
      <c r="G36" s="637" t="e">
        <f>F36/$F$37</f>
        <v>#DIV/0!</v>
      </c>
      <c r="K36" s="640"/>
      <c r="L36" s="640"/>
    </row>
    <row r="37" spans="1:7" ht="12.75">
      <c r="A37" s="634" t="s">
        <v>0</v>
      </c>
      <c r="B37" s="635">
        <f>SUM(B33:B36)</f>
        <v>0</v>
      </c>
      <c r="C37" s="638"/>
      <c r="D37" s="635">
        <f>SUM(D33:D36)</f>
        <v>0</v>
      </c>
      <c r="E37" s="638"/>
      <c r="F37" s="635">
        <f>SUM(F33:F36)</f>
        <v>0</v>
      </c>
      <c r="G37" s="638"/>
    </row>
    <row r="38" spans="1:7" ht="12.75">
      <c r="A38" s="633" t="s">
        <v>410</v>
      </c>
      <c r="B38" s="1339"/>
      <c r="C38" s="1279"/>
      <c r="D38" s="1339"/>
      <c r="E38" s="1279"/>
      <c r="F38" s="1278">
        <f>B38+D38</f>
        <v>0</v>
      </c>
      <c r="G38" s="1279"/>
    </row>
    <row r="39" spans="1:7" ht="12.75">
      <c r="A39" s="633" t="s">
        <v>411</v>
      </c>
      <c r="B39" s="1339"/>
      <c r="C39" s="1279"/>
      <c r="D39" s="1339"/>
      <c r="E39" s="1279"/>
      <c r="F39" s="1278">
        <f aca="true" t="shared" si="5" ref="F39:F53">B39+D39</f>
        <v>0</v>
      </c>
      <c r="G39" s="1279"/>
    </row>
    <row r="40" spans="1:7" ht="12.75">
      <c r="A40" s="633" t="s">
        <v>412</v>
      </c>
      <c r="B40" s="1339"/>
      <c r="C40" s="1279"/>
      <c r="D40" s="1339"/>
      <c r="E40" s="1279"/>
      <c r="F40" s="1278">
        <f t="shared" si="5"/>
        <v>0</v>
      </c>
      <c r="G40" s="1279"/>
    </row>
    <row r="41" spans="1:7" ht="12.75">
      <c r="A41" s="633" t="s">
        <v>413</v>
      </c>
      <c r="B41" s="1339"/>
      <c r="C41" s="1279"/>
      <c r="D41" s="1339"/>
      <c r="E41" s="1279"/>
      <c r="F41" s="1278">
        <f t="shared" si="5"/>
        <v>0</v>
      </c>
      <c r="G41" s="1279"/>
    </row>
    <row r="42" spans="1:7" ht="12.75">
      <c r="A42" s="633" t="s">
        <v>414</v>
      </c>
      <c r="B42" s="1339"/>
      <c r="C42" s="1279"/>
      <c r="D42" s="1339"/>
      <c r="E42" s="1279"/>
      <c r="F42" s="1278">
        <f t="shared" si="5"/>
        <v>0</v>
      </c>
      <c r="G42" s="1279"/>
    </row>
    <row r="43" spans="1:7" ht="12.75">
      <c r="A43" s="633" t="s">
        <v>415</v>
      </c>
      <c r="B43" s="1339"/>
      <c r="C43" s="1279"/>
      <c r="D43" s="1339"/>
      <c r="E43" s="1279"/>
      <c r="F43" s="1278">
        <f t="shared" si="5"/>
        <v>0</v>
      </c>
      <c r="G43" s="1279"/>
    </row>
    <row r="44" spans="1:7" ht="12.75">
      <c r="A44" s="633" t="s">
        <v>416</v>
      </c>
      <c r="B44" s="1340"/>
      <c r="C44" s="1280"/>
      <c r="D44" s="1340"/>
      <c r="E44" s="1280"/>
      <c r="F44" s="1278">
        <f t="shared" si="5"/>
        <v>0</v>
      </c>
      <c r="G44" s="1280"/>
    </row>
    <row r="45" spans="1:10" ht="12.75">
      <c r="A45" s="633" t="s">
        <v>417</v>
      </c>
      <c r="B45" s="1339"/>
      <c r="C45" s="1279"/>
      <c r="D45" s="1339"/>
      <c r="E45" s="1279"/>
      <c r="F45" s="1278">
        <f t="shared" si="5"/>
        <v>0</v>
      </c>
      <c r="G45" s="1279"/>
      <c r="H45" s="797"/>
      <c r="I45" s="798"/>
      <c r="J45" s="641"/>
    </row>
    <row r="46" spans="1:10" ht="12.75">
      <c r="A46" s="633" t="s">
        <v>418</v>
      </c>
      <c r="B46" s="1339"/>
      <c r="C46" s="1279"/>
      <c r="D46" s="1339"/>
      <c r="E46" s="1279"/>
      <c r="F46" s="1278">
        <f t="shared" si="5"/>
        <v>0</v>
      </c>
      <c r="G46" s="1279"/>
      <c r="H46" s="797"/>
      <c r="I46" s="798"/>
      <c r="J46" s="641"/>
    </row>
    <row r="47" spans="1:10" ht="12.75">
      <c r="A47" s="633" t="s">
        <v>652</v>
      </c>
      <c r="B47" s="1339"/>
      <c r="C47" s="1279"/>
      <c r="D47" s="1339"/>
      <c r="E47" s="1279"/>
      <c r="F47" s="1278">
        <f t="shared" si="5"/>
        <v>0</v>
      </c>
      <c r="G47" s="1279"/>
      <c r="H47" s="797"/>
      <c r="I47" s="798"/>
      <c r="J47" s="641"/>
    </row>
    <row r="48" spans="1:7" ht="12.75">
      <c r="A48" s="633" t="s">
        <v>419</v>
      </c>
      <c r="B48" s="1339"/>
      <c r="C48" s="1279"/>
      <c r="D48" s="1339"/>
      <c r="E48" s="1279"/>
      <c r="F48" s="1278">
        <f t="shared" si="5"/>
        <v>0</v>
      </c>
      <c r="G48" s="1279"/>
    </row>
    <row r="49" spans="1:7" ht="12.75">
      <c r="A49" s="633" t="s">
        <v>653</v>
      </c>
      <c r="B49" s="1339"/>
      <c r="C49" s="1279"/>
      <c r="D49" s="1339"/>
      <c r="E49" s="1279"/>
      <c r="F49" s="1278">
        <f t="shared" si="5"/>
        <v>0</v>
      </c>
      <c r="G49" s="1279"/>
    </row>
    <row r="50" spans="1:7" ht="12.75">
      <c r="A50" s="633" t="s">
        <v>420</v>
      </c>
      <c r="B50" s="1339"/>
      <c r="C50" s="1279"/>
      <c r="D50" s="1339"/>
      <c r="E50" s="1279"/>
      <c r="F50" s="1278">
        <f t="shared" si="5"/>
        <v>0</v>
      </c>
      <c r="G50" s="1279"/>
    </row>
    <row r="51" spans="1:7" ht="12.75">
      <c r="A51" s="633" t="s">
        <v>647</v>
      </c>
      <c r="B51" s="1339"/>
      <c r="C51" s="1279"/>
      <c r="D51" s="1339"/>
      <c r="E51" s="1279"/>
      <c r="F51" s="1278">
        <f t="shared" si="5"/>
        <v>0</v>
      </c>
      <c r="G51" s="1279"/>
    </row>
    <row r="52" spans="1:7" ht="12.75">
      <c r="A52" s="633" t="s">
        <v>409</v>
      </c>
      <c r="B52" s="1278">
        <f>'1. Units &amp; Income'!H98</f>
        <v>0</v>
      </c>
      <c r="C52" s="1279"/>
      <c r="D52" s="1278">
        <f>'2. Units &amp; Income'!H98</f>
        <v>0</v>
      </c>
      <c r="E52" s="1279"/>
      <c r="F52" s="1278">
        <f t="shared" si="5"/>
        <v>0</v>
      </c>
      <c r="G52" s="1279"/>
    </row>
    <row r="53" spans="1:7" ht="12.75">
      <c r="A53" s="1281" t="s">
        <v>0</v>
      </c>
      <c r="B53" s="1282">
        <f>SUM(B38:B52)</f>
        <v>0</v>
      </c>
      <c r="C53" s="1283"/>
      <c r="D53" s="1282">
        <f>SUM(D38:D52)</f>
        <v>0</v>
      </c>
      <c r="E53" s="1283"/>
      <c r="F53" s="1278">
        <f t="shared" si="5"/>
        <v>0</v>
      </c>
      <c r="G53" s="1283"/>
    </row>
    <row r="54" spans="1:7" ht="12.75">
      <c r="A54" s="642" t="s">
        <v>372</v>
      </c>
      <c r="B54" s="643"/>
      <c r="C54" s="644"/>
      <c r="D54" s="643"/>
      <c r="E54" s="644"/>
      <c r="F54" s="643"/>
      <c r="G54" s="644"/>
    </row>
    <row r="55" spans="1:7" ht="15">
      <c r="A55" s="645" t="s">
        <v>421</v>
      </c>
      <c r="B55" s="646"/>
      <c r="C55" s="784" t="s">
        <v>395</v>
      </c>
      <c r="D55" s="646"/>
      <c r="E55" s="784" t="s">
        <v>395</v>
      </c>
      <c r="F55" s="646"/>
      <c r="G55" s="784" t="s">
        <v>395</v>
      </c>
    </row>
    <row r="56" spans="1:7" ht="12.75">
      <c r="A56" s="647" t="s">
        <v>63</v>
      </c>
      <c r="B56" s="639">
        <f>SUM('1. Units &amp; Income'!H54,'1. Units &amp; Income'!H62,'1. Units &amp; Income'!H70,'1. Units &amp; Income'!H78,'1. Units &amp; Income'!H86,'1. Units &amp; Income'!H94)</f>
        <v>0</v>
      </c>
      <c r="C56" s="648" t="e">
        <f>B56/$B$60</f>
        <v>#DIV/0!</v>
      </c>
      <c r="D56" s="639">
        <f>SUM('2. Units &amp; Income'!H54,'2. Units &amp; Income'!H62,'2. Units &amp; Income'!H70,'2. Units &amp; Income'!H78,'2. Units &amp; Income'!H86,'2. Units &amp; Income'!H94)</f>
        <v>0</v>
      </c>
      <c r="E56" s="648" t="e">
        <f>D56/$D$60</f>
        <v>#DIV/0!</v>
      </c>
      <c r="F56" s="639">
        <f>B56+D56</f>
        <v>0</v>
      </c>
      <c r="G56" s="648" t="e">
        <f>F56/$F$60</f>
        <v>#DIV/0!</v>
      </c>
    </row>
    <row r="57" spans="1:7" ht="12.75">
      <c r="A57" s="636" t="s">
        <v>422</v>
      </c>
      <c r="B57" s="639">
        <f>SUM('1. Units &amp; Income'!H55,'1. Units &amp; Income'!H63,'1. Units &amp; Income'!H71,'1. Units &amp; Income'!H79,'1. Units &amp; Income'!H87,'1. Units &amp; Income'!H95)</f>
        <v>0</v>
      </c>
      <c r="C57" s="648" t="e">
        <f>B57/$B$60</f>
        <v>#DIV/0!</v>
      </c>
      <c r="D57" s="639">
        <f>SUM('2. Units &amp; Income'!H55,'2. Units &amp; Income'!H63,'2. Units &amp; Income'!H71,'2. Units &amp; Income'!H79,'2. Units &amp; Income'!H87,'2. Units &amp; Income'!H95)</f>
        <v>0</v>
      </c>
      <c r="E57" s="648" t="e">
        <f>D57/$D$60</f>
        <v>#DIV/0!</v>
      </c>
      <c r="F57" s="639">
        <f>B57+D57</f>
        <v>0</v>
      </c>
      <c r="G57" s="648" t="e">
        <f>F57/$F$60</f>
        <v>#DIV/0!</v>
      </c>
    </row>
    <row r="58" spans="1:7" ht="12.75">
      <c r="A58" s="636" t="s">
        <v>423</v>
      </c>
      <c r="B58" s="639">
        <f>SUM('1. Units &amp; Income'!H56,'1. Units &amp; Income'!H64,'1. Units &amp; Income'!H72,'1. Units &amp; Income'!H80,'1. Units &amp; Income'!H88,'1. Units &amp; Income'!H96)</f>
        <v>0</v>
      </c>
      <c r="C58" s="648" t="e">
        <f>B58/$B$60</f>
        <v>#DIV/0!</v>
      </c>
      <c r="D58" s="639">
        <f>SUM('2. Units &amp; Income'!H56,'2. Units &amp; Income'!H64,'2. Units &amp; Income'!H72,'2. Units &amp; Income'!H80,'2. Units &amp; Income'!H88,'2. Units &amp; Income'!H96)</f>
        <v>0</v>
      </c>
      <c r="E58" s="648" t="e">
        <f>D58/$D$60</f>
        <v>#DIV/0!</v>
      </c>
      <c r="F58" s="639">
        <f>B58+D58</f>
        <v>0</v>
      </c>
      <c r="G58" s="648" t="e">
        <f>F58/$F$60</f>
        <v>#DIV/0!</v>
      </c>
    </row>
    <row r="59" spans="1:8" ht="12.75">
      <c r="A59" s="636" t="s">
        <v>494</v>
      </c>
      <c r="B59" s="639">
        <f>SUM('1. Units &amp; Income'!H57,'1. Units &amp; Income'!H65,'1. Units &amp; Income'!H73,'1. Units &amp; Income'!H81,'1. Units &amp; Income'!H89,'1. Units &amp; Income'!H97)</f>
        <v>0</v>
      </c>
      <c r="C59" s="648" t="e">
        <f>B59/$B$60</f>
        <v>#DIV/0!</v>
      </c>
      <c r="D59" s="639">
        <f>SUM('2. Units &amp; Income'!H57,'2. Units &amp; Income'!H65,'2. Units &amp; Income'!H73,'2. Units &amp; Income'!H81,'2. Units &amp; Income'!H89,'2. Units &amp; Income'!H97)</f>
        <v>0</v>
      </c>
      <c r="E59" s="648" t="e">
        <f>D59/$D$60</f>
        <v>#DIV/0!</v>
      </c>
      <c r="F59" s="639">
        <f>B59+D59</f>
        <v>0</v>
      </c>
      <c r="G59" s="648" t="e">
        <f>F59/$F$60</f>
        <v>#DIV/0!</v>
      </c>
      <c r="H59" s="649"/>
    </row>
    <row r="60" spans="1:7" ht="12.75">
      <c r="A60" s="650" t="s">
        <v>424</v>
      </c>
      <c r="B60" s="651">
        <f>SUM(B56:B59)</f>
        <v>0</v>
      </c>
      <c r="C60" s="631"/>
      <c r="D60" s="651">
        <f>SUM(D56:D59)</f>
        <v>0</v>
      </c>
      <c r="E60" s="631"/>
      <c r="F60" s="651">
        <f>SUM(F56:F59)</f>
        <v>0</v>
      </c>
      <c r="G60" s="631"/>
    </row>
    <row r="61" spans="1:7" ht="12.75">
      <c r="A61" s="652" t="s">
        <v>425</v>
      </c>
      <c r="B61" s="639"/>
      <c r="C61" s="631"/>
      <c r="D61" s="639"/>
      <c r="E61" s="631"/>
      <c r="F61" s="639"/>
      <c r="G61" s="631"/>
    </row>
    <row r="62" spans="1:7" ht="12.75">
      <c r="A62" s="636" t="s">
        <v>63</v>
      </c>
      <c r="B62" s="639">
        <f>'1. Units &amp; Income'!E18</f>
        <v>0</v>
      </c>
      <c r="C62" s="631"/>
      <c r="D62" s="639">
        <f>'2. Units &amp; Income'!E18</f>
        <v>0</v>
      </c>
      <c r="E62" s="631"/>
      <c r="F62" s="639"/>
      <c r="G62" s="631"/>
    </row>
    <row r="63" spans="1:7" ht="12.75">
      <c r="A63" s="636" t="s">
        <v>422</v>
      </c>
      <c r="B63" s="639">
        <f>'1. Units &amp; Income'!E19</f>
        <v>0</v>
      </c>
      <c r="C63" s="631"/>
      <c r="D63" s="639">
        <f>'2. Units &amp; Income'!E19</f>
        <v>0</v>
      </c>
      <c r="E63" s="631"/>
      <c r="F63" s="639"/>
      <c r="G63" s="631"/>
    </row>
    <row r="64" spans="1:7" ht="12.75">
      <c r="A64" s="636" t="s">
        <v>426</v>
      </c>
      <c r="B64" s="639">
        <f>'1. Units &amp; Income'!E20</f>
        <v>0</v>
      </c>
      <c r="C64" s="631"/>
      <c r="D64" s="639">
        <f>'2. Units &amp; Income'!E20</f>
        <v>0</v>
      </c>
      <c r="E64" s="631"/>
      <c r="F64" s="639"/>
      <c r="G64" s="631"/>
    </row>
    <row r="65" spans="1:7" ht="12.75">
      <c r="A65" s="636" t="s">
        <v>494</v>
      </c>
      <c r="B65" s="639">
        <f>'1. Units &amp; Income'!E21</f>
        <v>0</v>
      </c>
      <c r="C65" s="631"/>
      <c r="D65" s="639">
        <f>'2. Units &amp; Income'!E21</f>
        <v>0</v>
      </c>
      <c r="E65" s="631"/>
      <c r="F65" s="639"/>
      <c r="G65" s="631"/>
    </row>
    <row r="66" spans="1:7" ht="13.5" thickBot="1">
      <c r="A66" s="653" t="s">
        <v>427</v>
      </c>
      <c r="B66" s="654" t="e">
        <f>SUMPRODUCT(B56:B59,B62:B65)/SUM(B56:B59)</f>
        <v>#DIV/0!</v>
      </c>
      <c r="C66" s="655"/>
      <c r="D66" s="654" t="e">
        <f>SUMPRODUCT(D56:D59,D62:D65)/SUM(D56:D59)</f>
        <v>#DIV/0!</v>
      </c>
      <c r="E66" s="655"/>
      <c r="F66" s="654" t="e">
        <f>SUMPRODUCT(F56:F59,F62:F65)/SUM(F56:F59)</f>
        <v>#DIV/0!</v>
      </c>
      <c r="G66" s="655"/>
    </row>
    <row r="67" spans="1:7" ht="12.75">
      <c r="A67" s="656" t="s">
        <v>428</v>
      </c>
      <c r="B67" s="657"/>
      <c r="C67" s="776"/>
      <c r="D67" s="657"/>
      <c r="E67" s="776"/>
      <c r="F67" s="657"/>
      <c r="G67" s="776"/>
    </row>
    <row r="68" spans="1:7" ht="12.75">
      <c r="A68" s="658" t="s">
        <v>656</v>
      </c>
      <c r="B68" s="659" t="e">
        <f>'1. Units &amp; Income'!I98</f>
        <v>#DIV/0!</v>
      </c>
      <c r="C68" s="777"/>
      <c r="D68" s="659" t="e">
        <f>'2. Units &amp; Income'!I98</f>
        <v>#DIV/0!</v>
      </c>
      <c r="E68" s="777"/>
      <c r="F68" s="659" t="e">
        <f aca="true" t="shared" si="6" ref="F68:F73">B68+D68</f>
        <v>#DIV/0!</v>
      </c>
      <c r="G68" s="777"/>
    </row>
    <row r="69" spans="1:7" ht="12.75">
      <c r="A69" s="660" t="s">
        <v>429</v>
      </c>
      <c r="B69" s="659"/>
      <c r="C69" s="777"/>
      <c r="D69" s="659"/>
      <c r="E69" s="777"/>
      <c r="F69" s="659">
        <f t="shared" si="6"/>
        <v>0</v>
      </c>
      <c r="G69" s="777"/>
    </row>
    <row r="70" spans="1:7" ht="12.75">
      <c r="A70" s="660" t="s">
        <v>430</v>
      </c>
      <c r="B70" s="659"/>
      <c r="C70" s="777"/>
      <c r="D70" s="659"/>
      <c r="E70" s="777"/>
      <c r="F70" s="659">
        <f t="shared" si="6"/>
        <v>0</v>
      </c>
      <c r="G70" s="777"/>
    </row>
    <row r="71" spans="1:7" ht="12.75">
      <c r="A71" s="658" t="s">
        <v>654</v>
      </c>
      <c r="B71" s="659">
        <f>'1. Units &amp; Income'!C34</f>
        <v>0</v>
      </c>
      <c r="C71" s="777"/>
      <c r="D71" s="659">
        <f>'2. Units &amp; Income'!C34</f>
        <v>0</v>
      </c>
      <c r="E71" s="777"/>
      <c r="F71" s="659">
        <f t="shared" si="6"/>
        <v>0</v>
      </c>
      <c r="G71" s="777"/>
    </row>
    <row r="72" spans="1:7" ht="12.75">
      <c r="A72" s="658" t="s">
        <v>655</v>
      </c>
      <c r="B72" s="659">
        <f>'1. Units &amp; Income'!C36</f>
        <v>0</v>
      </c>
      <c r="C72" s="777"/>
      <c r="D72" s="659">
        <f>'2. Units &amp; Income'!C36</f>
        <v>0</v>
      </c>
      <c r="E72" s="777"/>
      <c r="F72" s="659">
        <f t="shared" si="6"/>
        <v>0</v>
      </c>
      <c r="G72" s="777"/>
    </row>
    <row r="73" spans="1:7" ht="12.75">
      <c r="A73" s="1343" t="s">
        <v>431</v>
      </c>
      <c r="B73" s="659">
        <f>'1. Units &amp; Income'!C31</f>
        <v>0</v>
      </c>
      <c r="C73" s="777"/>
      <c r="D73" s="659">
        <f>'2. Units &amp; Income'!C31</f>
        <v>0</v>
      </c>
      <c r="E73" s="777"/>
      <c r="F73" s="659">
        <f t="shared" si="6"/>
        <v>0</v>
      </c>
      <c r="G73" s="777"/>
    </row>
    <row r="74" spans="1:7" ht="12.75">
      <c r="A74" s="661" t="s">
        <v>432</v>
      </c>
      <c r="B74" s="662"/>
      <c r="C74" s="644"/>
      <c r="D74" s="662"/>
      <c r="E74" s="644"/>
      <c r="F74" s="662"/>
      <c r="G74" s="644"/>
    </row>
    <row r="75" spans="1:7" ht="12.75">
      <c r="A75" s="663"/>
      <c r="B75" s="622"/>
      <c r="C75" s="637"/>
      <c r="D75" s="622"/>
      <c r="E75" s="637"/>
      <c r="F75" s="622"/>
      <c r="G75" s="637"/>
    </row>
    <row r="76" spans="1:7" ht="12.75">
      <c r="A76" s="664" t="s">
        <v>433</v>
      </c>
      <c r="B76" s="622"/>
      <c r="C76" s="637"/>
      <c r="D76" s="622"/>
      <c r="E76" s="637"/>
      <c r="F76" s="622"/>
      <c r="G76" s="637"/>
    </row>
    <row r="77" spans="1:7" ht="12.75">
      <c r="A77" s="664" t="s">
        <v>434</v>
      </c>
      <c r="B77" s="622"/>
      <c r="C77" s="637"/>
      <c r="D77" s="622"/>
      <c r="E77" s="637"/>
      <c r="F77" s="622"/>
      <c r="G77" s="637"/>
    </row>
    <row r="78" spans="1:7" ht="12.75">
      <c r="A78" s="664" t="s">
        <v>435</v>
      </c>
      <c r="B78" s="622"/>
      <c r="C78" s="637"/>
      <c r="D78" s="622"/>
      <c r="E78" s="637"/>
      <c r="F78" s="622"/>
      <c r="G78" s="637"/>
    </row>
    <row r="79" spans="1:7" ht="12.75">
      <c r="A79" s="664" t="s">
        <v>436</v>
      </c>
      <c r="B79" s="622"/>
      <c r="C79" s="637"/>
      <c r="D79" s="622"/>
      <c r="E79" s="637"/>
      <c r="F79" s="622"/>
      <c r="G79" s="637"/>
    </row>
    <row r="80" spans="1:7" ht="12.75">
      <c r="A80" s="665" t="s">
        <v>437</v>
      </c>
      <c r="B80" s="666"/>
      <c r="C80" s="631"/>
      <c r="D80" s="666"/>
      <c r="E80" s="631"/>
      <c r="F80" s="666"/>
      <c r="G80" s="631"/>
    </row>
    <row r="81" spans="1:7" ht="12.75">
      <c r="A81" s="665"/>
      <c r="B81" s="666"/>
      <c r="C81" s="631"/>
      <c r="D81" s="666"/>
      <c r="E81" s="631"/>
      <c r="F81" s="666"/>
      <c r="G81" s="631"/>
    </row>
    <row r="82" spans="1:7" ht="12.75">
      <c r="A82" s="664" t="s">
        <v>438</v>
      </c>
      <c r="B82" s="622"/>
      <c r="C82" s="637"/>
      <c r="D82" s="622"/>
      <c r="E82" s="637"/>
      <c r="F82" s="622"/>
      <c r="G82" s="637"/>
    </row>
    <row r="83" spans="1:7" ht="12.75">
      <c r="A83" s="664" t="s">
        <v>439</v>
      </c>
      <c r="B83" s="622"/>
      <c r="C83" s="637"/>
      <c r="D83" s="622"/>
      <c r="E83" s="637"/>
      <c r="F83" s="622"/>
      <c r="G83" s="637"/>
    </row>
    <row r="84" spans="1:7" ht="12.75">
      <c r="A84" s="664" t="s">
        <v>440</v>
      </c>
      <c r="B84" s="622"/>
      <c r="C84" s="637"/>
      <c r="D84" s="622"/>
      <c r="E84" s="637"/>
      <c r="F84" s="622"/>
      <c r="G84" s="637"/>
    </row>
    <row r="85" spans="1:7" ht="12.75">
      <c r="A85" s="664" t="s">
        <v>441</v>
      </c>
      <c r="B85" s="622"/>
      <c r="C85" s="637"/>
      <c r="D85" s="622"/>
      <c r="E85" s="637"/>
      <c r="F85" s="622"/>
      <c r="G85" s="637"/>
    </row>
    <row r="86" spans="1:7" ht="12.75">
      <c r="A86" s="665" t="s">
        <v>442</v>
      </c>
      <c r="B86" s="666"/>
      <c r="C86" s="631"/>
      <c r="D86" s="666"/>
      <c r="E86" s="631"/>
      <c r="F86" s="666"/>
      <c r="G86" s="631"/>
    </row>
    <row r="87" spans="1:7" ht="12.75">
      <c r="A87" s="667"/>
      <c r="B87" s="622"/>
      <c r="C87" s="637"/>
      <c r="D87" s="622"/>
      <c r="E87" s="637"/>
      <c r="F87" s="622"/>
      <c r="G87" s="637"/>
    </row>
    <row r="88" spans="1:7" ht="12.75">
      <c r="A88" s="668" t="s">
        <v>443</v>
      </c>
      <c r="B88" s="669"/>
      <c r="C88" s="778"/>
      <c r="D88" s="669"/>
      <c r="E88" s="778"/>
      <c r="F88" s="669"/>
      <c r="G88" s="778"/>
    </row>
    <row r="89" spans="1:7" ht="12.75">
      <c r="A89" s="670" t="s">
        <v>444</v>
      </c>
      <c r="B89" s="657"/>
      <c r="C89" s="776"/>
      <c r="D89" s="657"/>
      <c r="E89" s="776"/>
      <c r="F89" s="657"/>
      <c r="G89" s="776"/>
    </row>
    <row r="90" spans="1:7" ht="12.75">
      <c r="A90" s="623" t="s">
        <v>445</v>
      </c>
      <c r="B90" s="671">
        <f>'1. Units &amp; Income'!I102</f>
        <v>0</v>
      </c>
      <c r="C90" s="779"/>
      <c r="D90" s="671">
        <f>'2. Units &amp; Income'!I102</f>
        <v>0</v>
      </c>
      <c r="E90" s="779"/>
      <c r="F90" s="671">
        <f>B90+D90</f>
        <v>0</v>
      </c>
      <c r="G90" s="779"/>
    </row>
    <row r="91" spans="1:10" ht="12.75">
      <c r="A91" s="673" t="s">
        <v>127</v>
      </c>
      <c r="B91" s="671">
        <f>'1. Units &amp; Income'!D34</f>
        <v>0</v>
      </c>
      <c r="C91" s="779"/>
      <c r="D91" s="671">
        <f>'2. Units &amp; Income'!D34</f>
        <v>0</v>
      </c>
      <c r="E91" s="779"/>
      <c r="F91" s="671">
        <f aca="true" t="shared" si="7" ref="F91:F96">B91+D91</f>
        <v>0</v>
      </c>
      <c r="G91" s="779"/>
      <c r="H91" s="767"/>
      <c r="I91" s="640"/>
      <c r="J91" s="640"/>
    </row>
    <row r="92" spans="1:10" ht="12.75">
      <c r="A92" s="673" t="s">
        <v>446</v>
      </c>
      <c r="B92" s="671">
        <f>'1. Units &amp; Income'!D36</f>
        <v>0</v>
      </c>
      <c r="C92" s="779"/>
      <c r="D92" s="671">
        <f>'2. Units &amp; Income'!D36</f>
        <v>0</v>
      </c>
      <c r="E92" s="779"/>
      <c r="F92" s="671">
        <f t="shared" si="7"/>
        <v>0</v>
      </c>
      <c r="G92" s="779"/>
      <c r="H92" s="766"/>
      <c r="I92" s="768"/>
      <c r="J92" s="768"/>
    </row>
    <row r="93" spans="1:10" ht="12.75">
      <c r="A93" s="674" t="s">
        <v>447</v>
      </c>
      <c r="B93" s="659">
        <f>'1. Units &amp; Income'!D31</f>
        <v>0</v>
      </c>
      <c r="C93" s="777"/>
      <c r="D93" s="659">
        <f>'2. Units &amp; Income'!D31</f>
        <v>0</v>
      </c>
      <c r="E93" s="777"/>
      <c r="F93" s="659">
        <f t="shared" si="7"/>
        <v>0</v>
      </c>
      <c r="G93" s="777"/>
      <c r="H93" s="766"/>
      <c r="I93" s="768"/>
      <c r="J93" s="768"/>
    </row>
    <row r="94" spans="1:7" ht="12.75">
      <c r="A94" s="754" t="s">
        <v>448</v>
      </c>
      <c r="B94" s="659">
        <f>'1. Units &amp; Income'!I104</f>
        <v>0</v>
      </c>
      <c r="C94" s="777"/>
      <c r="D94" s="659">
        <f>'2. Units &amp; Income'!I104</f>
        <v>0</v>
      </c>
      <c r="E94" s="777"/>
      <c r="F94" s="659">
        <f t="shared" si="7"/>
        <v>0</v>
      </c>
      <c r="G94" s="777"/>
    </row>
    <row r="95" spans="1:7" ht="12.75">
      <c r="A95" s="754" t="s">
        <v>449</v>
      </c>
      <c r="B95" s="659">
        <f>'1. Mort'!D22</f>
        <v>0</v>
      </c>
      <c r="C95" s="777"/>
      <c r="D95" s="659">
        <f>'2. Mort'!D22</f>
        <v>0</v>
      </c>
      <c r="E95" s="777"/>
      <c r="F95" s="659">
        <f t="shared" si="7"/>
        <v>0</v>
      </c>
      <c r="G95" s="777"/>
    </row>
    <row r="96" spans="1:7" ht="12.75">
      <c r="A96" s="673" t="s">
        <v>496</v>
      </c>
      <c r="B96" s="659">
        <f>Expenses</f>
        <v>0</v>
      </c>
      <c r="C96" s="777"/>
      <c r="D96" s="659">
        <f>Expenses2</f>
        <v>0</v>
      </c>
      <c r="E96" s="777"/>
      <c r="F96" s="659">
        <f t="shared" si="7"/>
        <v>0</v>
      </c>
      <c r="G96" s="777"/>
    </row>
    <row r="97" spans="1:7" ht="12.75">
      <c r="A97" s="672" t="s">
        <v>450</v>
      </c>
      <c r="B97" s="666" t="e">
        <f>'1. M and O'!D30</f>
        <v>#DIV/0!</v>
      </c>
      <c r="C97" s="631"/>
      <c r="D97" s="666" t="e">
        <f>'2. M and O'!D30</f>
        <v>#DIV/0!</v>
      </c>
      <c r="E97" s="631"/>
      <c r="F97" s="666" t="e">
        <f>F96/('2. M and O'!E5+'1. M and O'!E5)</f>
        <v>#DIV/0!</v>
      </c>
      <c r="G97" s="631"/>
    </row>
    <row r="98" spans="1:7" ht="12.75">
      <c r="A98" s="672" t="s">
        <v>124</v>
      </c>
      <c r="B98" s="666" t="e">
        <f>'1. M and O'!D31</f>
        <v>#DIV/0!</v>
      </c>
      <c r="C98" s="631"/>
      <c r="D98" s="666" t="e">
        <f>'2. M and O'!D31</f>
        <v>#DIV/0!</v>
      </c>
      <c r="E98" s="631"/>
      <c r="F98" s="666" t="e">
        <f>F96/F60</f>
        <v>#DIV/0!</v>
      </c>
      <c r="G98" s="631"/>
    </row>
    <row r="99" spans="1:7" ht="12.75">
      <c r="A99" s="672" t="s">
        <v>451</v>
      </c>
      <c r="B99" s="666">
        <f>'1. M and O'!C28</f>
        <v>0</v>
      </c>
      <c r="C99" s="631"/>
      <c r="D99" s="666">
        <f>'2. M and O'!C28</f>
        <v>0</v>
      </c>
      <c r="E99" s="631"/>
      <c r="F99" s="666" t="e">
        <f>SUMPRODUCT(B99:D99,B60:D60)/F60</f>
        <v>#DIV/0!</v>
      </c>
      <c r="G99" s="631"/>
    </row>
    <row r="100" spans="1:7" ht="12.75">
      <c r="A100" s="672" t="s">
        <v>452</v>
      </c>
      <c r="B100" s="1344">
        <f>'1. Mort'!B36</f>
        <v>0</v>
      </c>
      <c r="C100" s="1345"/>
      <c r="D100" s="1344">
        <f>'2. Mort'!B36</f>
        <v>0</v>
      </c>
      <c r="E100" s="1345"/>
      <c r="F100" s="1344"/>
      <c r="G100" s="631"/>
    </row>
    <row r="101" spans="1:7" ht="12.75">
      <c r="A101" s="676" t="s">
        <v>453</v>
      </c>
      <c r="B101" s="677">
        <f>NOI</f>
        <v>0</v>
      </c>
      <c r="C101" s="760"/>
      <c r="D101" s="677">
        <f>NOI2</f>
        <v>0</v>
      </c>
      <c r="E101" s="760"/>
      <c r="F101" s="677">
        <f>B101+D101</f>
        <v>0</v>
      </c>
      <c r="G101" s="760"/>
    </row>
    <row r="102" spans="1:7" ht="12.75">
      <c r="A102" s="678" t="s">
        <v>454</v>
      </c>
      <c r="B102" s="669">
        <f>'1. M and O'!C33</f>
        <v>0</v>
      </c>
      <c r="C102" s="778"/>
      <c r="D102" s="669">
        <f>'2. M and O'!C33</f>
        <v>0</v>
      </c>
      <c r="E102" s="778"/>
      <c r="F102" s="669">
        <f>D102+B102</f>
        <v>0</v>
      </c>
      <c r="G102" s="778"/>
    </row>
    <row r="103" spans="1:7" ht="12.75">
      <c r="A103" s="629" t="s">
        <v>132</v>
      </c>
      <c r="B103" s="662"/>
      <c r="C103" s="780" t="s">
        <v>395</v>
      </c>
      <c r="D103" s="662"/>
      <c r="E103" s="780" t="s">
        <v>395</v>
      </c>
      <c r="F103" s="662"/>
      <c r="G103" s="780" t="s">
        <v>395</v>
      </c>
    </row>
    <row r="104" spans="1:7" ht="12.75">
      <c r="A104" s="616" t="s">
        <v>455</v>
      </c>
      <c r="B104" s="622">
        <f>'1. Devel. Bud'!D10</f>
        <v>0</v>
      </c>
      <c r="C104" s="637" t="e">
        <f>B104/$B$112</f>
        <v>#DIV/0!</v>
      </c>
      <c r="D104" s="622">
        <f>'2. Devel. Bud'!D10</f>
        <v>0</v>
      </c>
      <c r="E104" s="637" t="e">
        <f>D104/$D$112</f>
        <v>#DIV/0!</v>
      </c>
      <c r="F104" s="622">
        <f aca="true" t="shared" si="8" ref="F104:F111">B104+D104</f>
        <v>0</v>
      </c>
      <c r="G104" s="637" t="e">
        <f>F104/$F$112</f>
        <v>#DIV/0!</v>
      </c>
    </row>
    <row r="105" spans="1:7" ht="12.75">
      <c r="A105" s="672" t="s">
        <v>456</v>
      </c>
      <c r="B105" s="666" t="e">
        <f>B104/B17</f>
        <v>#DIV/0!</v>
      </c>
      <c r="C105" s="631"/>
      <c r="D105" s="666" t="e">
        <f>D104/D17</f>
        <v>#DIV/0!</v>
      </c>
      <c r="E105" s="631"/>
      <c r="F105" s="666" t="e">
        <f>F104/F17</f>
        <v>#DIV/0!</v>
      </c>
      <c r="G105" s="631"/>
    </row>
    <row r="106" spans="1:7" ht="12.75">
      <c r="A106" s="672" t="s">
        <v>124</v>
      </c>
      <c r="B106" s="666" t="e">
        <f>B104/B60</f>
        <v>#DIV/0!</v>
      </c>
      <c r="C106" s="631"/>
      <c r="D106" s="666" t="e">
        <f>D104/D60</f>
        <v>#DIV/0!</v>
      </c>
      <c r="E106" s="631"/>
      <c r="F106" s="666" t="e">
        <f>F104/F60</f>
        <v>#DIV/0!</v>
      </c>
      <c r="G106" s="631"/>
    </row>
    <row r="107" spans="1:7" ht="12.75">
      <c r="A107" s="679" t="s">
        <v>457</v>
      </c>
      <c r="B107" s="622">
        <f>'1. Devel. Bud'!D11</f>
        <v>0</v>
      </c>
      <c r="C107" s="637" t="e">
        <f>B107/$B$112</f>
        <v>#DIV/0!</v>
      </c>
      <c r="D107" s="622">
        <f>'2. Devel. Bud'!D11</f>
        <v>0</v>
      </c>
      <c r="E107" s="637" t="e">
        <f>D107/$D$112</f>
        <v>#DIV/0!</v>
      </c>
      <c r="F107" s="622">
        <f t="shared" si="8"/>
        <v>0</v>
      </c>
      <c r="G107" s="637" t="e">
        <f>F107/$F$112</f>
        <v>#DIV/0!</v>
      </c>
    </row>
    <row r="108" spans="1:8" ht="12.75">
      <c r="A108" s="680" t="s">
        <v>456</v>
      </c>
      <c r="B108" s="681" t="e">
        <f>B107/B18</f>
        <v>#DIV/0!</v>
      </c>
      <c r="C108" s="762"/>
      <c r="D108" s="681" t="e">
        <f>D107/D18</f>
        <v>#DIV/0!</v>
      </c>
      <c r="E108" s="762"/>
      <c r="F108" s="681" t="e">
        <f>F107/F18</f>
        <v>#DIV/0!</v>
      </c>
      <c r="G108" s="762"/>
      <c r="H108" s="682"/>
    </row>
    <row r="109" spans="1:8" ht="12.75">
      <c r="A109" s="755" t="s">
        <v>501</v>
      </c>
      <c r="B109" s="799">
        <f>'1. Devel. Bud'!D12</f>
        <v>0</v>
      </c>
      <c r="C109" s="637" t="e">
        <f>B109/$B$112</f>
        <v>#DIV/0!</v>
      </c>
      <c r="D109" s="799">
        <f>'2. Devel. Bud'!D12</f>
        <v>0</v>
      </c>
      <c r="E109" s="637" t="e">
        <f>D109/$D$112</f>
        <v>#DIV/0!</v>
      </c>
      <c r="F109" s="799">
        <f t="shared" si="8"/>
        <v>0</v>
      </c>
      <c r="G109" s="637" t="e">
        <f>F109/$F$112</f>
        <v>#DIV/0!</v>
      </c>
      <c r="H109" s="682"/>
    </row>
    <row r="110" spans="1:8" ht="12.75">
      <c r="A110" s="680" t="s">
        <v>456</v>
      </c>
      <c r="B110" s="681" t="e">
        <f>B109/B19</f>
        <v>#DIV/0!</v>
      </c>
      <c r="C110" s="762"/>
      <c r="D110" s="681" t="e">
        <f>D109/D19</f>
        <v>#DIV/0!</v>
      </c>
      <c r="E110" s="762"/>
      <c r="F110" s="681" t="e">
        <f>F109/F19</f>
        <v>#DIV/0!</v>
      </c>
      <c r="G110" s="762"/>
      <c r="H110" s="682"/>
    </row>
    <row r="111" spans="1:7" ht="12.75">
      <c r="A111" s="679" t="s">
        <v>458</v>
      </c>
      <c r="B111" s="659">
        <f>'1. Devel. Bud'!D14</f>
        <v>0</v>
      </c>
      <c r="C111" s="637" t="e">
        <f>B111/$B$112</f>
        <v>#DIV/0!</v>
      </c>
      <c r="D111" s="659">
        <f>'2. Devel. Bud'!D14</f>
        <v>0</v>
      </c>
      <c r="E111" s="637" t="e">
        <f>D111/$D$112</f>
        <v>#DIV/0!</v>
      </c>
      <c r="F111" s="659">
        <f t="shared" si="8"/>
        <v>0</v>
      </c>
      <c r="G111" s="637" t="e">
        <f>F111/$F$112</f>
        <v>#DIV/0!</v>
      </c>
    </row>
    <row r="112" spans="1:7" ht="12.75">
      <c r="A112" s="676" t="s">
        <v>459</v>
      </c>
      <c r="B112" s="677">
        <f>'1. Devel. Bud'!D15</f>
        <v>0</v>
      </c>
      <c r="C112" s="760" t="e">
        <f>B112/B120</f>
        <v>#DIV/0!</v>
      </c>
      <c r="D112" s="677">
        <f>'2. Devel. Bud'!D15</f>
        <v>0</v>
      </c>
      <c r="E112" s="760" t="e">
        <f>D112/D120</f>
        <v>#DIV/0!</v>
      </c>
      <c r="F112" s="677">
        <f>+B112+D112</f>
        <v>0</v>
      </c>
      <c r="G112" s="760"/>
    </row>
    <row r="113" spans="1:7" ht="12.75">
      <c r="A113" s="758" t="s">
        <v>456</v>
      </c>
      <c r="B113" s="759" t="e">
        <f>'1. Devel. Bud'!E15</f>
        <v>#DIV/0!</v>
      </c>
      <c r="C113" s="763"/>
      <c r="D113" s="759" t="e">
        <f>'2. Devel. Bud'!E15</f>
        <v>#DIV/0!</v>
      </c>
      <c r="E113" s="763"/>
      <c r="F113" s="759" t="e">
        <f>+F112/F22</f>
        <v>#DIV/0!</v>
      </c>
      <c r="G113" s="763"/>
    </row>
    <row r="114" spans="1:7" ht="12.75">
      <c r="A114" s="758" t="s">
        <v>124</v>
      </c>
      <c r="B114" s="759" t="e">
        <f>'1. Devel. Bud'!E16</f>
        <v>#DIV/0!</v>
      </c>
      <c r="C114" s="763"/>
      <c r="D114" s="759" t="e">
        <f>'2. Devel. Bud'!E16</f>
        <v>#DIV/0!</v>
      </c>
      <c r="E114" s="763"/>
      <c r="F114" s="759" t="e">
        <f>F112/F60</f>
        <v>#DIV/0!</v>
      </c>
      <c r="G114" s="763"/>
    </row>
    <row r="115" spans="1:7" ht="12.75">
      <c r="A115" s="1356" t="s">
        <v>460</v>
      </c>
      <c r="B115" s="1357" t="e">
        <f>'1. Devel. Bud'!D52</f>
        <v>#DIV/0!</v>
      </c>
      <c r="C115" s="1358" t="e">
        <f>B115/B117</f>
        <v>#DIV/0!</v>
      </c>
      <c r="D115" s="1357" t="e">
        <f>'2. Devel. Bud'!D52</f>
        <v>#DIV/0!</v>
      </c>
      <c r="E115" s="1358" t="e">
        <f>D115/D117</f>
        <v>#DIV/0!</v>
      </c>
      <c r="F115" s="1357" t="e">
        <f>B115+D115</f>
        <v>#DIV/0!</v>
      </c>
      <c r="G115" s="1358"/>
    </row>
    <row r="116" spans="1:7" ht="12.75">
      <c r="A116" s="1356" t="s">
        <v>461</v>
      </c>
      <c r="B116" s="1357">
        <f>'1. Devel. Bud'!D34</f>
        <v>0</v>
      </c>
      <c r="C116" s="1358" t="e">
        <f>B116/B117</f>
        <v>#DIV/0!</v>
      </c>
      <c r="D116" s="1357">
        <f>'2. Devel. Bud'!D34</f>
        <v>0</v>
      </c>
      <c r="E116" s="1358" t="e">
        <f>D116/D117</f>
        <v>#DIV/0!</v>
      </c>
      <c r="F116" s="1357">
        <f>B116+D116</f>
        <v>0</v>
      </c>
      <c r="G116" s="1358"/>
    </row>
    <row r="117" spans="1:7" ht="12.75">
      <c r="A117" s="676" t="s">
        <v>112</v>
      </c>
      <c r="B117" s="759" t="e">
        <f>'1. Devel. Bud'!D74</f>
        <v>#DIV/0!</v>
      </c>
      <c r="C117" s="761" t="e">
        <f>B117/B120</f>
        <v>#DIV/0!</v>
      </c>
      <c r="D117" s="759" t="e">
        <f>'2. Devel. Bud'!D74</f>
        <v>#DIV/0!</v>
      </c>
      <c r="E117" s="761" t="e">
        <f>D117/D120</f>
        <v>#DIV/0!</v>
      </c>
      <c r="F117" s="759" t="e">
        <f>+B117+D117</f>
        <v>#DIV/0!</v>
      </c>
      <c r="G117" s="761"/>
    </row>
    <row r="118" spans="1:7" ht="12.75">
      <c r="A118" s="684" t="s">
        <v>462</v>
      </c>
      <c r="B118" s="666">
        <f>'1. Devel. Bud'!D76</f>
        <v>0</v>
      </c>
      <c r="C118" s="637" t="e">
        <f>B118/B120</f>
        <v>#DIV/0!</v>
      </c>
      <c r="D118" s="666">
        <f>'2. Devel. Bud'!D76</f>
        <v>0</v>
      </c>
      <c r="E118" s="637" t="e">
        <f>D118/D120</f>
        <v>#DIV/0!</v>
      </c>
      <c r="F118" s="666">
        <f>B118+D118</f>
        <v>0</v>
      </c>
      <c r="G118" s="637"/>
    </row>
    <row r="119" spans="1:7" ht="12.75">
      <c r="A119" s="672" t="s">
        <v>463</v>
      </c>
      <c r="B119" s="666">
        <f>B118-'1. Devel. Bud'!D90</f>
        <v>0</v>
      </c>
      <c r="C119" s="631" t="e">
        <f>B119/B118</f>
        <v>#DIV/0!</v>
      </c>
      <c r="D119" s="666">
        <f>D118-'2. Devel. Bud'!D90</f>
        <v>0</v>
      </c>
      <c r="E119" s="631" t="e">
        <f>D119/D118</f>
        <v>#DIV/0!</v>
      </c>
      <c r="F119" s="666">
        <f>B119+D119</f>
        <v>0</v>
      </c>
      <c r="G119" s="631"/>
    </row>
    <row r="120" spans="1:7" ht="12.75">
      <c r="A120" s="685" t="s">
        <v>464</v>
      </c>
      <c r="B120" s="691" t="e">
        <f>'1. Devel. Bud'!D79</f>
        <v>#DIV/0!</v>
      </c>
      <c r="C120" s="760"/>
      <c r="D120" s="691" t="e">
        <f>'2. Devel. Bud'!D79</f>
        <v>#DIV/0!</v>
      </c>
      <c r="E120" s="760"/>
      <c r="F120" s="691" t="e">
        <f>+B120+D120</f>
        <v>#DIV/0!</v>
      </c>
      <c r="G120" s="760"/>
    </row>
    <row r="121" spans="1:7" ht="13.5" thickBot="1">
      <c r="A121" s="686"/>
      <c r="B121" s="687"/>
      <c r="C121" s="764"/>
      <c r="D121" s="687"/>
      <c r="E121" s="764"/>
      <c r="F121" s="687"/>
      <c r="G121" s="764"/>
    </row>
    <row r="122" spans="1:7" ht="12.75">
      <c r="A122" s="656" t="s">
        <v>657</v>
      </c>
      <c r="B122" s="630"/>
      <c r="C122" s="769"/>
      <c r="D122" s="630"/>
      <c r="E122" s="769"/>
      <c r="F122" s="630"/>
      <c r="G122" s="769"/>
    </row>
    <row r="123" spans="1:7" ht="12.75">
      <c r="A123" s="1361" t="s">
        <v>147</v>
      </c>
      <c r="B123" s="1363">
        <f>'1. Mort'!K12</f>
        <v>0</v>
      </c>
      <c r="C123" s="1360"/>
      <c r="D123" s="1363">
        <f>'2. Mort'!K12</f>
        <v>0</v>
      </c>
      <c r="E123" s="1360"/>
      <c r="F123" s="1359"/>
      <c r="G123" s="1360"/>
    </row>
    <row r="124" spans="1:7" ht="12.75">
      <c r="A124" s="640" t="s">
        <v>403</v>
      </c>
      <c r="B124" s="1366">
        <f>'1. Cons Int &amp; Neg Arb'!B29</f>
        <v>0</v>
      </c>
      <c r="C124" s="1360"/>
      <c r="D124" s="1366">
        <f>'2. Cons Int &amp; Neg Arb'!B29</f>
        <v>0</v>
      </c>
      <c r="E124" s="1360"/>
      <c r="F124" s="1359"/>
      <c r="G124" s="1360"/>
    </row>
    <row r="125" spans="1:7" ht="12.75">
      <c r="A125" s="1362" t="s">
        <v>42</v>
      </c>
      <c r="B125" s="1365">
        <f>'1. Mort'!H31</f>
        <v>0</v>
      </c>
      <c r="C125" s="1360"/>
      <c r="D125" s="1365">
        <f>'2. Mort'!H31</f>
        <v>0</v>
      </c>
      <c r="E125" s="1360"/>
      <c r="F125" s="1359"/>
      <c r="G125" s="1360"/>
    </row>
    <row r="126" spans="1:7" ht="12.75">
      <c r="A126" s="1361" t="s">
        <v>398</v>
      </c>
      <c r="B126" s="1364">
        <f>'1. Mort'!B36</f>
        <v>0</v>
      </c>
      <c r="C126" s="1360"/>
      <c r="D126" s="1364">
        <f>'2. Mort'!B36</f>
        <v>0</v>
      </c>
      <c r="E126" s="1360"/>
      <c r="F126" s="1359"/>
      <c r="G126" s="1360"/>
    </row>
    <row r="127" spans="1:7" ht="12.75">
      <c r="A127" s="640" t="s">
        <v>401</v>
      </c>
      <c r="B127" s="1364">
        <f>'1. Tax Credit '!G15</f>
        <v>0</v>
      </c>
      <c r="C127" s="1360"/>
      <c r="D127" s="1364">
        <f>'2. Tax Credit'!G15</f>
        <v>0</v>
      </c>
      <c r="E127" s="1360"/>
      <c r="F127" s="1359"/>
      <c r="G127" s="1360"/>
    </row>
    <row r="128" spans="1:7" ht="12.75">
      <c r="A128" s="1361"/>
      <c r="B128" s="1359"/>
      <c r="C128" s="1360"/>
      <c r="D128" s="1359"/>
      <c r="E128" s="1360"/>
      <c r="F128" s="1359"/>
      <c r="G128" s="1360"/>
    </row>
    <row r="129" spans="1:7" ht="12.75">
      <c r="A129" s="656" t="s">
        <v>465</v>
      </c>
      <c r="B129" s="630"/>
      <c r="C129" s="769" t="s">
        <v>395</v>
      </c>
      <c r="D129" s="630"/>
      <c r="E129" s="769" t="s">
        <v>395</v>
      </c>
      <c r="F129" s="630"/>
      <c r="G129" s="769" t="s">
        <v>395</v>
      </c>
    </row>
    <row r="130" spans="1:7" ht="12.75">
      <c r="A130" s="688" t="s">
        <v>466</v>
      </c>
      <c r="B130" s="689"/>
      <c r="C130" s="781"/>
      <c r="D130" s="689"/>
      <c r="E130" s="781"/>
      <c r="F130" s="689"/>
      <c r="G130" s="781"/>
    </row>
    <row r="131" spans="1:7" ht="12.75">
      <c r="A131" s="623" t="str">
        <f>'1. Sources and Use'!A7</f>
        <v>HDC Bond First Mortgage </v>
      </c>
      <c r="B131" s="622">
        <f>'1. Sources and Use'!B7</f>
        <v>0</v>
      </c>
      <c r="C131" s="637" t="e">
        <f>'1. Sources and Use'!D7</f>
        <v>#DIV/0!</v>
      </c>
      <c r="D131" s="622">
        <f>'2. Sources and Use'!B7</f>
        <v>0</v>
      </c>
      <c r="E131" s="637" t="e">
        <f>'2. Sources and Use'!D7</f>
        <v>#DIV/0!</v>
      </c>
      <c r="F131" s="622">
        <f>B131+D131</f>
        <v>0</v>
      </c>
      <c r="G131" s="637" t="e">
        <f>F131/$F$138</f>
        <v>#DIV/0!</v>
      </c>
    </row>
    <row r="132" spans="1:7" ht="12.75">
      <c r="A132" s="623" t="str">
        <f>'1. Sources and Use'!A8</f>
        <v>HDC Second Mortgage</v>
      </c>
      <c r="B132" s="622">
        <f>'1. Sources and Use'!B8</f>
        <v>0</v>
      </c>
      <c r="C132" s="637" t="e">
        <f>'1. Sources and Use'!D8</f>
        <v>#DIV/0!</v>
      </c>
      <c r="D132" s="622">
        <f>'2. Sources and Use'!B8</f>
        <v>0</v>
      </c>
      <c r="E132" s="637" t="e">
        <f>'2. Sources and Use'!D8</f>
        <v>#DIV/0!</v>
      </c>
      <c r="F132" s="622">
        <f aca="true" t="shared" si="9" ref="F132:F137">B132+D132</f>
        <v>0</v>
      </c>
      <c r="G132" s="637" t="e">
        <f aca="true" t="shared" si="10" ref="G132:G137">F132/$F$138</f>
        <v>#DIV/0!</v>
      </c>
    </row>
    <row r="133" spans="1:7" ht="12.75">
      <c r="A133" s="623" t="str">
        <f>'1. Sources and Use'!A9</f>
        <v>HPD Subsidy Third Mortgage</v>
      </c>
      <c r="B133" s="622">
        <f>'1. Sources and Use'!B9</f>
        <v>0</v>
      </c>
      <c r="C133" s="637" t="e">
        <f>'1. Sources and Use'!D9</f>
        <v>#DIV/0!</v>
      </c>
      <c r="D133" s="622">
        <f>'2. Sources and Use'!B9</f>
        <v>0</v>
      </c>
      <c r="E133" s="637" t="e">
        <f>'2. Sources and Use'!D9</f>
        <v>#DIV/0!</v>
      </c>
      <c r="F133" s="622">
        <f t="shared" si="9"/>
        <v>0</v>
      </c>
      <c r="G133" s="637" t="e">
        <f t="shared" si="10"/>
        <v>#DIV/0!</v>
      </c>
    </row>
    <row r="134" spans="1:7" ht="12.75">
      <c r="A134" s="623" t="str">
        <f>'1. Sources and Use'!A10</f>
        <v>Fourth Mortgage (Lender:                                )</v>
      </c>
      <c r="B134" s="622">
        <f>'1. Sources and Use'!B10</f>
        <v>0</v>
      </c>
      <c r="C134" s="637" t="e">
        <f>'1. Sources and Use'!D10</f>
        <v>#DIV/0!</v>
      </c>
      <c r="D134" s="622">
        <f>'2. Sources and Use'!B10</f>
        <v>0</v>
      </c>
      <c r="E134" s="637" t="e">
        <f>'2. Sources and Use'!D10</f>
        <v>#DIV/0!</v>
      </c>
      <c r="F134" s="622">
        <f t="shared" si="9"/>
        <v>0</v>
      </c>
      <c r="G134" s="637" t="e">
        <f t="shared" si="10"/>
        <v>#DIV/0!</v>
      </c>
    </row>
    <row r="135" spans="1:7" ht="12.75">
      <c r="A135" s="623" t="str">
        <f>'1. Sources and Use'!A11</f>
        <v>Developer Equity</v>
      </c>
      <c r="B135" s="622">
        <f>'1. Sources and Use'!B11</f>
        <v>0</v>
      </c>
      <c r="C135" s="637" t="e">
        <f>'1. Sources and Use'!D11</f>
        <v>#DIV/0!</v>
      </c>
      <c r="D135" s="622">
        <f>'2. Sources and Use'!B11</f>
        <v>0</v>
      </c>
      <c r="E135" s="637" t="e">
        <f>'2. Sources and Use'!D11</f>
        <v>#DIV/0!</v>
      </c>
      <c r="F135" s="622">
        <f t="shared" si="9"/>
        <v>0</v>
      </c>
      <c r="G135" s="637" t="e">
        <f t="shared" si="10"/>
        <v>#DIV/0!</v>
      </c>
    </row>
    <row r="136" spans="1:7" ht="12.75">
      <c r="A136" s="623" t="str">
        <f>'1. Sources and Use'!A12</f>
        <v>Deferred Developer's Fee</v>
      </c>
      <c r="B136" s="622">
        <f>'1. Sources and Use'!B12</f>
        <v>0</v>
      </c>
      <c r="C136" s="637">
        <f>'1. Sources and Use'!D12</f>
        <v>0</v>
      </c>
      <c r="D136" s="622">
        <f>'2. Sources and Use'!B12</f>
        <v>0</v>
      </c>
      <c r="E136" s="637">
        <f>'2. Sources and Use'!D12</f>
        <v>0</v>
      </c>
      <c r="F136" s="622">
        <f t="shared" si="9"/>
        <v>0</v>
      </c>
      <c r="G136" s="637" t="e">
        <f t="shared" si="10"/>
        <v>#DIV/0!</v>
      </c>
    </row>
    <row r="137" spans="1:7" ht="12.75">
      <c r="A137" s="623" t="str">
        <f>'1. Sources and Use'!A13</f>
        <v>Other source (Specify:                                )</v>
      </c>
      <c r="B137" s="622">
        <f>'1. Sources and Use'!B13</f>
        <v>0</v>
      </c>
      <c r="C137" s="637">
        <f>'1. Sources and Use'!D13</f>
        <v>0</v>
      </c>
      <c r="D137" s="622">
        <f>'2. Sources and Use'!B13</f>
        <v>0</v>
      </c>
      <c r="E137" s="637">
        <f>'2. Sources and Use'!D13</f>
        <v>0</v>
      </c>
      <c r="F137" s="622">
        <f t="shared" si="9"/>
        <v>0</v>
      </c>
      <c r="G137" s="637" t="e">
        <f t="shared" si="10"/>
        <v>#DIV/0!</v>
      </c>
    </row>
    <row r="138" spans="1:7" ht="12.75">
      <c r="A138" s="690" t="s">
        <v>467</v>
      </c>
      <c r="B138" s="691">
        <f>SUM(B131:B137)</f>
        <v>0</v>
      </c>
      <c r="C138" s="782"/>
      <c r="D138" s="691">
        <f>SUM(D131:D137)</f>
        <v>0</v>
      </c>
      <c r="E138" s="782"/>
      <c r="F138" s="691">
        <f>+D138+B138</f>
        <v>0</v>
      </c>
      <c r="G138" s="782"/>
    </row>
    <row r="139" spans="1:7" ht="12.75">
      <c r="A139" s="604"/>
      <c r="B139" s="622"/>
      <c r="C139" s="637"/>
      <c r="D139" s="622"/>
      <c r="E139" s="637"/>
      <c r="F139" s="622"/>
      <c r="G139" s="637"/>
    </row>
    <row r="140" spans="1:7" ht="12.75">
      <c r="A140" s="688" t="s">
        <v>468</v>
      </c>
      <c r="B140" s="689"/>
      <c r="C140" s="781"/>
      <c r="D140" s="689"/>
      <c r="E140" s="781"/>
      <c r="F140" s="689"/>
      <c r="G140" s="781"/>
    </row>
    <row r="141" spans="1:7" ht="12.75">
      <c r="A141" s="673" t="str">
        <f>'1. Sources and Use'!A18</f>
        <v>HDC Bond First Mortgage </v>
      </c>
      <c r="B141" s="659" t="e">
        <f>'1. Sources and Use'!B18</f>
        <v>#DIV/0!</v>
      </c>
      <c r="C141" s="777" t="e">
        <f>'1. Sources and Use'!D18</f>
        <v>#DIV/0!</v>
      </c>
      <c r="D141" s="659" t="e">
        <f>'2. Sources and Use'!B18</f>
        <v>#DIV/0!</v>
      </c>
      <c r="E141" s="777" t="e">
        <f>'2. Sources and Use'!D18</f>
        <v>#DIV/0!</v>
      </c>
      <c r="F141" s="659" t="e">
        <f>B141+D141</f>
        <v>#DIV/0!</v>
      </c>
      <c r="G141" s="777" t="e">
        <f aca="true" t="shared" si="11" ref="G141:G147">F141/$F$150</f>
        <v>#DIV/0!</v>
      </c>
    </row>
    <row r="142" spans="1:7" ht="12.75">
      <c r="A142" s="673" t="str">
        <f>'1. Sources and Use'!A19</f>
        <v>HDC Second Mortgage</v>
      </c>
      <c r="B142" s="659">
        <f>'1. Sources and Use'!B19</f>
        <v>0</v>
      </c>
      <c r="C142" s="777" t="e">
        <f>'1. Sources and Use'!D19</f>
        <v>#DIV/0!</v>
      </c>
      <c r="D142" s="659">
        <f>'2. Sources and Use'!B19</f>
        <v>0</v>
      </c>
      <c r="E142" s="777" t="e">
        <f>'2. Sources and Use'!D19</f>
        <v>#DIV/0!</v>
      </c>
      <c r="F142" s="659">
        <f aca="true" t="shared" si="12" ref="F142:F147">B142+D142</f>
        <v>0</v>
      </c>
      <c r="G142" s="777" t="e">
        <f t="shared" si="11"/>
        <v>#DIV/0!</v>
      </c>
    </row>
    <row r="143" spans="1:7" ht="12.75">
      <c r="A143" s="673" t="str">
        <f>'1. Sources and Use'!A20</f>
        <v>HPD Subsidy Third Mortgage</v>
      </c>
      <c r="B143" s="659">
        <f>'1. Sources and Use'!B20</f>
        <v>0</v>
      </c>
      <c r="C143" s="777" t="e">
        <f>'1. Sources and Use'!D20</f>
        <v>#DIV/0!</v>
      </c>
      <c r="D143" s="659">
        <f>'2. Sources and Use'!B20</f>
        <v>0</v>
      </c>
      <c r="E143" s="777" t="e">
        <f>'2. Sources and Use'!D20</f>
        <v>#DIV/0!</v>
      </c>
      <c r="F143" s="659">
        <f t="shared" si="12"/>
        <v>0</v>
      </c>
      <c r="G143" s="777" t="e">
        <f t="shared" si="11"/>
        <v>#DIV/0!</v>
      </c>
    </row>
    <row r="144" spans="1:7" ht="12.75">
      <c r="A144" s="673" t="str">
        <f>'1. Sources and Use'!A21</f>
        <v>Fourth Mortgage (Lender:                                )</v>
      </c>
      <c r="B144" s="659">
        <f>'1. Sources and Use'!B21</f>
        <v>0</v>
      </c>
      <c r="C144" s="777" t="e">
        <f>'1. Sources and Use'!D21</f>
        <v>#DIV/0!</v>
      </c>
      <c r="D144" s="659">
        <f>'2. Sources and Use'!B21</f>
        <v>0</v>
      </c>
      <c r="E144" s="777" t="e">
        <f>'2. Sources and Use'!D21</f>
        <v>#DIV/0!</v>
      </c>
      <c r="F144" s="659">
        <f t="shared" si="12"/>
        <v>0</v>
      </c>
      <c r="G144" s="777" t="e">
        <f t="shared" si="11"/>
        <v>#DIV/0!</v>
      </c>
    </row>
    <row r="145" spans="1:7" ht="12.75">
      <c r="A145" s="673" t="str">
        <f>'1. Sources and Use'!A22</f>
        <v>Developer Equity</v>
      </c>
      <c r="B145" s="659">
        <f>'1. Sources and Use'!B22</f>
        <v>0</v>
      </c>
      <c r="C145" s="777" t="e">
        <f>'1. Sources and Use'!D22</f>
        <v>#DIV/0!</v>
      </c>
      <c r="D145" s="659">
        <f>'2. Sources and Use'!B22</f>
        <v>0</v>
      </c>
      <c r="E145" s="777" t="e">
        <f>'2. Sources and Use'!D22</f>
        <v>#DIV/0!</v>
      </c>
      <c r="F145" s="659">
        <f t="shared" si="12"/>
        <v>0</v>
      </c>
      <c r="G145" s="777" t="e">
        <f t="shared" si="11"/>
        <v>#DIV/0!</v>
      </c>
    </row>
    <row r="146" spans="1:7" ht="12.75">
      <c r="A146" s="673" t="str">
        <f>'1. Sources and Use'!A23</f>
        <v>Deferred Developer's Fee</v>
      </c>
      <c r="B146" s="659">
        <f>'1. Sources and Use'!B23</f>
        <v>0</v>
      </c>
      <c r="C146" s="777">
        <f>'1. Sources and Use'!D23</f>
        <v>0</v>
      </c>
      <c r="D146" s="659">
        <f>'2. Sources and Use'!B23</f>
        <v>0</v>
      </c>
      <c r="E146" s="777">
        <f>'2. Sources and Use'!D23</f>
        <v>0</v>
      </c>
      <c r="F146" s="659">
        <f t="shared" si="12"/>
        <v>0</v>
      </c>
      <c r="G146" s="777" t="e">
        <f t="shared" si="11"/>
        <v>#DIV/0!</v>
      </c>
    </row>
    <row r="147" spans="1:7" ht="12.75">
      <c r="A147" s="673" t="str">
        <f>'1. Sources and Use'!A24</f>
        <v>Other source (Specify:                                )</v>
      </c>
      <c r="B147" s="659">
        <f>'1. Sources and Use'!B24</f>
        <v>0</v>
      </c>
      <c r="C147" s="777">
        <f>'1. Sources and Use'!D24</f>
        <v>0</v>
      </c>
      <c r="D147" s="659">
        <f>'2. Sources and Use'!B24</f>
        <v>0</v>
      </c>
      <c r="E147" s="777">
        <f>'2. Sources and Use'!D24</f>
        <v>0</v>
      </c>
      <c r="F147" s="659">
        <f t="shared" si="12"/>
        <v>0</v>
      </c>
      <c r="G147" s="777" t="e">
        <f t="shared" si="11"/>
        <v>#DIV/0!</v>
      </c>
    </row>
    <row r="148" spans="1:7" ht="12.75">
      <c r="A148" s="675" t="s">
        <v>469</v>
      </c>
      <c r="B148" s="659"/>
      <c r="C148" s="777"/>
      <c r="D148" s="659"/>
      <c r="E148" s="777"/>
      <c r="F148" s="659"/>
      <c r="G148" s="777"/>
    </row>
    <row r="149" spans="1:7" ht="12.75">
      <c r="A149" s="765"/>
      <c r="B149" s="659"/>
      <c r="C149" s="777"/>
      <c r="D149" s="659"/>
      <c r="E149" s="777"/>
      <c r="F149" s="659"/>
      <c r="G149" s="777"/>
    </row>
    <row r="150" spans="1:7" ht="12.75">
      <c r="A150" s="692" t="s">
        <v>470</v>
      </c>
      <c r="B150" s="691" t="e">
        <f>SUM(B141:B149)</f>
        <v>#DIV/0!</v>
      </c>
      <c r="C150" s="782"/>
      <c r="D150" s="691" t="e">
        <f>SUM(D141:D149)</f>
        <v>#DIV/0!</v>
      </c>
      <c r="E150" s="782"/>
      <c r="F150" s="691" t="e">
        <f>+D150+B150</f>
        <v>#DIV/0!</v>
      </c>
      <c r="G150" s="782"/>
    </row>
    <row r="151" spans="1:7" ht="12.75">
      <c r="A151" s="693"/>
      <c r="B151" s="694"/>
      <c r="C151" s="783" t="s">
        <v>124</v>
      </c>
      <c r="D151" s="694"/>
      <c r="E151" s="783" t="s">
        <v>124</v>
      </c>
      <c r="F151" s="694"/>
      <c r="G151" s="783"/>
    </row>
    <row r="152" spans="1:7" ht="12.75">
      <c r="A152" s="695" t="s">
        <v>502</v>
      </c>
      <c r="B152" s="696">
        <f>B143</f>
        <v>0</v>
      </c>
      <c r="C152" s="787" t="e">
        <f>B152/SUM($B$33:$B$35)</f>
        <v>#DIV/0!</v>
      </c>
      <c r="D152" s="696">
        <f>D143</f>
        <v>0</v>
      </c>
      <c r="E152" s="787" t="e">
        <f>D152/SUM($D$33:$D$35)</f>
        <v>#DIV/0!</v>
      </c>
      <c r="F152" s="696">
        <f>B152+D152</f>
        <v>0</v>
      </c>
      <c r="G152" s="787" t="e">
        <f>F152/SUM($F$33:$F$35)</f>
        <v>#DIV/0!</v>
      </c>
    </row>
    <row r="153" spans="1:7" ht="12.75">
      <c r="A153" s="695" t="s">
        <v>471</v>
      </c>
      <c r="B153" s="697" t="e">
        <f>B141</f>
        <v>#DIV/0!</v>
      </c>
      <c r="C153" s="787" t="e">
        <f>B153/SUM($B$33:$B$35)</f>
        <v>#DIV/0!</v>
      </c>
      <c r="D153" s="697" t="e">
        <f>D141</f>
        <v>#DIV/0!</v>
      </c>
      <c r="E153" s="787" t="e">
        <f>D153/SUM($D$33:$D$35)</f>
        <v>#DIV/0!</v>
      </c>
      <c r="F153" s="697" t="e">
        <f>B153+D153</f>
        <v>#DIV/0!</v>
      </c>
      <c r="G153" s="787" t="e">
        <f>F153/SUM($F$33:$F$35)</f>
        <v>#DIV/0!</v>
      </c>
    </row>
    <row r="154" spans="1:7" ht="13.5" thickBot="1">
      <c r="A154" s="698"/>
      <c r="B154" s="687"/>
      <c r="C154" s="764"/>
      <c r="D154" s="687"/>
      <c r="E154" s="764"/>
      <c r="F154" s="687"/>
      <c r="G154" s="764"/>
    </row>
  </sheetData>
  <sheetProtection/>
  <mergeCells count="4">
    <mergeCell ref="B5:G5"/>
    <mergeCell ref="H8:I9"/>
    <mergeCell ref="B10:G10"/>
    <mergeCell ref="B9:G9"/>
  </mergeCells>
  <printOptions/>
  <pageMargins left="0.25" right="0.25" top="0.5" bottom="0.5" header="0.5" footer="0.5"/>
  <pageSetup horizontalDpi="600" verticalDpi="600" orientation="portrait" scale="79" r:id="rId1"/>
  <rowBreaks count="2" manualBreakCount="2">
    <brk id="66" max="8" man="1"/>
    <brk id="128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tabColor indexed="26"/>
    <pageSetUpPr fitToPage="1"/>
  </sheetPr>
  <dimension ref="A1:K41"/>
  <sheetViews>
    <sheetView defaultGridColor="0" view="pageBreakPreview" zoomScale="85" zoomScaleNormal="87" zoomScaleSheetLayoutView="85" zoomScalePageLayoutView="0" colorId="22" workbookViewId="0" topLeftCell="A1">
      <selection activeCell="A1" sqref="A1"/>
    </sheetView>
  </sheetViews>
  <sheetFormatPr defaultColWidth="9.77734375" defaultRowHeight="15"/>
  <cols>
    <col min="1" max="1" width="37.99609375" style="802" customWidth="1"/>
    <col min="2" max="2" width="13.21484375" style="802" bestFit="1" customWidth="1"/>
    <col min="3" max="3" width="11.77734375" style="802" bestFit="1" customWidth="1"/>
    <col min="4" max="4" width="9.77734375" style="802" customWidth="1"/>
    <col min="5" max="5" width="13.21484375" style="802" bestFit="1" customWidth="1"/>
    <col min="6" max="16384" width="9.77734375" style="802" customWidth="1"/>
  </cols>
  <sheetData>
    <row r="1" spans="1:11" ht="15.75">
      <c r="A1" s="1370" t="str">
        <f>'2. Sources and Use'!A1</f>
        <v>Willets Point Phase 1 Development</v>
      </c>
      <c r="B1" s="800"/>
      <c r="C1" s="800"/>
      <c r="D1" s="800"/>
      <c r="E1" s="800"/>
      <c r="F1" s="801"/>
      <c r="G1" s="801"/>
      <c r="H1" s="801"/>
      <c r="I1" s="801"/>
      <c r="J1" s="801"/>
      <c r="K1" s="801"/>
    </row>
    <row r="2" spans="1:11" ht="15">
      <c r="A2" s="803"/>
      <c r="B2" s="801"/>
      <c r="C2" s="801"/>
      <c r="D2" s="801"/>
      <c r="E2" s="801"/>
      <c r="F2" s="801"/>
      <c r="G2" s="801"/>
      <c r="H2" s="801"/>
      <c r="I2" s="801"/>
      <c r="J2" s="801"/>
      <c r="K2" s="801"/>
    </row>
    <row r="3" spans="1:11" ht="15">
      <c r="A3" s="804"/>
      <c r="B3" s="801"/>
      <c r="C3" s="801"/>
      <c r="D3" s="801"/>
      <c r="E3" s="801"/>
      <c r="F3" s="801"/>
      <c r="G3" s="801"/>
      <c r="H3" s="801"/>
      <c r="I3" s="801"/>
      <c r="J3" s="801"/>
      <c r="K3" s="801"/>
    </row>
    <row r="4" spans="1:11" ht="15">
      <c r="A4" s="804" t="s">
        <v>8</v>
      </c>
      <c r="B4" s="801"/>
      <c r="C4" s="801"/>
      <c r="D4" s="801"/>
      <c r="E4" s="801"/>
      <c r="F4" s="805"/>
      <c r="G4" s="801"/>
      <c r="H4" s="806"/>
      <c r="I4" s="806"/>
      <c r="J4" s="806"/>
      <c r="K4" s="801"/>
    </row>
    <row r="5" spans="1:11" ht="14.25">
      <c r="A5" s="801"/>
      <c r="B5" s="801"/>
      <c r="C5" s="807" t="s">
        <v>504</v>
      </c>
      <c r="D5" s="801"/>
      <c r="E5" s="801"/>
      <c r="F5" s="806"/>
      <c r="G5" s="801"/>
      <c r="H5" s="806"/>
      <c r="I5" s="806"/>
      <c r="J5" s="806"/>
      <c r="K5" s="801"/>
    </row>
    <row r="6" spans="1:11" ht="15">
      <c r="A6" s="804" t="s">
        <v>505</v>
      </c>
      <c r="B6" s="801"/>
      <c r="C6" s="808"/>
      <c r="D6" s="801"/>
      <c r="E6" s="801"/>
      <c r="F6" s="806"/>
      <c r="G6" s="801"/>
      <c r="H6" s="806"/>
      <c r="I6" s="806"/>
      <c r="J6" s="808"/>
      <c r="K6" s="801"/>
    </row>
    <row r="7" spans="1:11" ht="14.25">
      <c r="A7" s="809" t="str">
        <f>'HO-Devel. Bud'!A76</f>
        <v>First Mortgage (Lender:                                )</v>
      </c>
      <c r="B7" s="808">
        <f>'HO-Devel. Bud'!D76</f>
        <v>0</v>
      </c>
      <c r="C7" s="810" t="e">
        <f aca="true" t="shared" si="0" ref="C7:C12">B7/UNITS_HO</f>
        <v>#DIV/0!</v>
      </c>
      <c r="D7" s="811" t="e">
        <f aca="true" t="shared" si="1" ref="D7:D12">B7/$B$14</f>
        <v>#DIV/0!</v>
      </c>
      <c r="G7" s="801"/>
      <c r="H7" s="806"/>
      <c r="I7" s="806"/>
      <c r="J7" s="812"/>
      <c r="K7" s="801"/>
    </row>
    <row r="8" spans="1:11" ht="14.25">
      <c r="A8" s="809" t="str">
        <f>'HO-Devel. Bud'!A77</f>
        <v>Second Mortgage (Lender:                                )</v>
      </c>
      <c r="B8" s="808">
        <f>'HO-Devel. Bud'!D77</f>
        <v>0</v>
      </c>
      <c r="C8" s="810" t="e">
        <f t="shared" si="0"/>
        <v>#DIV/0!</v>
      </c>
      <c r="D8" s="811" t="e">
        <f t="shared" si="1"/>
        <v>#DIV/0!</v>
      </c>
      <c r="G8" s="801"/>
      <c r="H8" s="806"/>
      <c r="I8" s="806"/>
      <c r="J8" s="812"/>
      <c r="K8" s="801"/>
    </row>
    <row r="9" spans="1:11" ht="14.25">
      <c r="A9" s="809" t="str">
        <f>'HO-Devel. Bud'!A78</f>
        <v>Third Mortgage (Lender:                                )</v>
      </c>
      <c r="B9" s="808">
        <f>'HO-Devel. Bud'!D78</f>
        <v>0</v>
      </c>
      <c r="C9" s="810" t="e">
        <f t="shared" si="0"/>
        <v>#DIV/0!</v>
      </c>
      <c r="D9" s="811" t="e">
        <f t="shared" si="1"/>
        <v>#DIV/0!</v>
      </c>
      <c r="G9" s="801"/>
      <c r="H9" s="806"/>
      <c r="I9" s="806"/>
      <c r="J9" s="812"/>
      <c r="K9" s="801"/>
    </row>
    <row r="10" spans="1:11" ht="14.25">
      <c r="A10" s="809" t="str">
        <f>'HO-Devel. Bud'!A79</f>
        <v>Other (Specify: _______________)</v>
      </c>
      <c r="B10" s="808">
        <f>'HO-Devel. Bud'!D79</f>
        <v>0</v>
      </c>
      <c r="C10" s="810" t="e">
        <f t="shared" si="0"/>
        <v>#DIV/0!</v>
      </c>
      <c r="D10" s="811" t="e">
        <f t="shared" si="1"/>
        <v>#DIV/0!</v>
      </c>
      <c r="G10" s="801"/>
      <c r="H10" s="801"/>
      <c r="I10" s="813"/>
      <c r="J10" s="812"/>
      <c r="K10" s="814"/>
    </row>
    <row r="11" spans="1:11" ht="14.25">
      <c r="A11" s="809" t="str">
        <f>'HO-Devel. Bud'!A80</f>
        <v>Deferred Developer's Fee</v>
      </c>
      <c r="B11" s="808">
        <f>'HO-Devel. Bud'!D80</f>
        <v>0</v>
      </c>
      <c r="C11" s="810" t="e">
        <f t="shared" si="0"/>
        <v>#DIV/0!</v>
      </c>
      <c r="D11" s="811" t="e">
        <f t="shared" si="1"/>
        <v>#DIV/0!</v>
      </c>
      <c r="G11" s="801"/>
      <c r="H11" s="801"/>
      <c r="I11" s="813"/>
      <c r="J11" s="812"/>
      <c r="K11" s="814"/>
    </row>
    <row r="12" spans="1:11" ht="14.25">
      <c r="A12" s="809" t="str">
        <f>'HO-Devel. Bud'!A81</f>
        <v>Developer Equity</v>
      </c>
      <c r="B12" s="808">
        <f>'HO-Devel. Bud'!D81</f>
        <v>0</v>
      </c>
      <c r="C12" s="810" t="e">
        <f t="shared" si="0"/>
        <v>#DIV/0!</v>
      </c>
      <c r="D12" s="811" t="e">
        <f t="shared" si="1"/>
        <v>#DIV/0!</v>
      </c>
      <c r="G12" s="801"/>
      <c r="H12" s="801"/>
      <c r="I12" s="813"/>
      <c r="J12" s="812"/>
      <c r="K12" s="814"/>
    </row>
    <row r="13" spans="1:11" ht="14.25">
      <c r="A13" s="801"/>
      <c r="B13" s="808"/>
      <c r="C13" s="810"/>
      <c r="D13" s="806"/>
      <c r="G13" s="801"/>
      <c r="H13" s="801"/>
      <c r="I13" s="813"/>
      <c r="J13" s="812"/>
      <c r="K13" s="814"/>
    </row>
    <row r="14" spans="1:11" ht="14.25">
      <c r="A14" s="809" t="str">
        <f>'HO-Devel. Bud'!A82</f>
        <v>Total</v>
      </c>
      <c r="B14" s="808">
        <f>'HO-Devel. Bud'!D82</f>
        <v>0</v>
      </c>
      <c r="C14" s="810" t="e">
        <f>B14/UNITS_HO</f>
        <v>#DIV/0!</v>
      </c>
      <c r="D14" s="811" t="e">
        <f>B14/$B$14</f>
        <v>#DIV/0!</v>
      </c>
      <c r="G14" s="801"/>
      <c r="H14" s="801"/>
      <c r="I14" s="813"/>
      <c r="J14" s="812"/>
      <c r="K14" s="814"/>
    </row>
    <row r="15" spans="1:11" ht="14.25">
      <c r="A15" s="801"/>
      <c r="B15" s="815"/>
      <c r="C15" s="815"/>
      <c r="D15" s="806"/>
      <c r="G15" s="801"/>
      <c r="H15" s="801"/>
      <c r="I15" s="813"/>
      <c r="J15" s="812"/>
      <c r="K15" s="814"/>
    </row>
    <row r="16" spans="1:11" ht="14.25">
      <c r="A16" s="801"/>
      <c r="B16" s="801"/>
      <c r="C16" s="810"/>
      <c r="D16" s="806"/>
      <c r="G16" s="801"/>
      <c r="H16" s="806"/>
      <c r="I16" s="816"/>
      <c r="J16" s="812"/>
      <c r="K16" s="801"/>
    </row>
    <row r="17" spans="1:11" ht="15">
      <c r="A17" s="804" t="s">
        <v>506</v>
      </c>
      <c r="B17" s="801"/>
      <c r="C17" s="808"/>
      <c r="D17" s="806"/>
      <c r="G17" s="801"/>
      <c r="H17" s="806"/>
      <c r="I17" s="806"/>
      <c r="J17" s="808"/>
      <c r="K17" s="801"/>
    </row>
    <row r="18" spans="1:11" ht="14.25">
      <c r="A18" s="809" t="str">
        <f>'HO-Devel. Bud'!A85</f>
        <v>Sale Proceeds</v>
      </c>
      <c r="B18" s="808">
        <f>'HO-Devel. Bud'!D85</f>
        <v>0</v>
      </c>
      <c r="C18" s="810" t="e">
        <f aca="true" t="shared" si="2" ref="C18:C24">B18/UNITS_HO</f>
        <v>#DIV/0!</v>
      </c>
      <c r="D18" s="811" t="e">
        <f aca="true" t="shared" si="3" ref="D18:D24">B18/B$26</f>
        <v>#DIV/0!</v>
      </c>
      <c r="G18" s="801"/>
      <c r="H18" s="806"/>
      <c r="I18" s="806"/>
      <c r="J18" s="812"/>
      <c r="K18" s="801"/>
    </row>
    <row r="19" spans="1:11" ht="14.25">
      <c r="A19" s="809" t="str">
        <f>'HO-Devel. Bud'!A86</f>
        <v>First Mortgage (Lender:                                )</v>
      </c>
      <c r="B19" s="808">
        <f>'HO-Devel. Bud'!D86</f>
        <v>0</v>
      </c>
      <c r="C19" s="810" t="e">
        <f t="shared" si="2"/>
        <v>#DIV/0!</v>
      </c>
      <c r="D19" s="811" t="e">
        <f t="shared" si="3"/>
        <v>#DIV/0!</v>
      </c>
      <c r="G19" s="801"/>
      <c r="H19" s="806"/>
      <c r="I19" s="806"/>
      <c r="J19" s="812"/>
      <c r="K19" s="801"/>
    </row>
    <row r="20" spans="1:11" ht="14.25">
      <c r="A20" s="809" t="str">
        <f>'HO-Devel. Bud'!A87</f>
        <v>Second Mortgage (Lender:                                )</v>
      </c>
      <c r="B20" s="808">
        <f>'HO-Devel. Bud'!D87</f>
        <v>0</v>
      </c>
      <c r="C20" s="810" t="e">
        <f t="shared" si="2"/>
        <v>#DIV/0!</v>
      </c>
      <c r="D20" s="811" t="e">
        <f t="shared" si="3"/>
        <v>#DIV/0!</v>
      </c>
      <c r="G20" s="801"/>
      <c r="H20" s="806"/>
      <c r="I20" s="806"/>
      <c r="J20" s="812"/>
      <c r="K20" s="801"/>
    </row>
    <row r="21" spans="1:11" ht="14.25">
      <c r="A21" s="809" t="str">
        <f>'HO-Devel. Bud'!A88</f>
        <v>Third Mortgage (Lender:                                )</v>
      </c>
      <c r="B21" s="808">
        <f>'HO-Devel. Bud'!D88</f>
        <v>0</v>
      </c>
      <c r="C21" s="810" t="e">
        <f t="shared" si="2"/>
        <v>#DIV/0!</v>
      </c>
      <c r="D21" s="811" t="e">
        <f t="shared" si="3"/>
        <v>#DIV/0!</v>
      </c>
      <c r="G21" s="801"/>
      <c r="H21" s="806"/>
      <c r="I21" s="806"/>
      <c r="J21" s="812"/>
      <c r="K21" s="801"/>
    </row>
    <row r="22" spans="1:11" ht="14.25">
      <c r="A22" s="809" t="str">
        <f>'HO-Devel. Bud'!A89</f>
        <v>Other (Specify: _______________)</v>
      </c>
      <c r="B22" s="808">
        <f>'HO-Devel. Bud'!D89</f>
        <v>0</v>
      </c>
      <c r="C22" s="810" t="e">
        <f t="shared" si="2"/>
        <v>#DIV/0!</v>
      </c>
      <c r="D22" s="811" t="e">
        <f t="shared" si="3"/>
        <v>#DIV/0!</v>
      </c>
      <c r="G22" s="801"/>
      <c r="H22" s="806"/>
      <c r="I22" s="806"/>
      <c r="J22" s="812"/>
      <c r="K22" s="801"/>
    </row>
    <row r="23" spans="1:11" ht="14.25">
      <c r="A23" s="809" t="str">
        <f>'HO-Devel. Bud'!A90</f>
        <v>Developer Equity</v>
      </c>
      <c r="B23" s="808">
        <f>'HO-Devel. Bud'!D90</f>
        <v>0</v>
      </c>
      <c r="C23" s="810" t="e">
        <f t="shared" si="2"/>
        <v>#DIV/0!</v>
      </c>
      <c r="D23" s="811" t="e">
        <f t="shared" si="3"/>
        <v>#DIV/0!</v>
      </c>
      <c r="G23" s="801"/>
      <c r="H23" s="806"/>
      <c r="I23" s="806"/>
      <c r="J23" s="812"/>
      <c r="K23" s="801"/>
    </row>
    <row r="24" spans="1:11" ht="15">
      <c r="A24" s="817" t="str">
        <f>'HO-Devel. Bud'!A91</f>
        <v>GAP/(SURPLUS)</v>
      </c>
      <c r="B24" s="818" t="e">
        <f>'HO-Devel. Bud'!D91</f>
        <v>#DIV/0!</v>
      </c>
      <c r="C24" s="819" t="e">
        <f t="shared" si="2"/>
        <v>#DIV/0!</v>
      </c>
      <c r="D24" s="811" t="e">
        <f t="shared" si="3"/>
        <v>#DIV/0!</v>
      </c>
      <c r="G24" s="801"/>
      <c r="H24" s="806"/>
      <c r="I24" s="806"/>
      <c r="J24" s="812"/>
      <c r="K24" s="801"/>
    </row>
    <row r="25" spans="1:11" ht="15">
      <c r="A25" s="817"/>
      <c r="B25" s="818"/>
      <c r="C25" s="819"/>
      <c r="D25" s="811"/>
      <c r="G25" s="801"/>
      <c r="H25" s="806"/>
      <c r="I25" s="806"/>
      <c r="J25" s="812"/>
      <c r="K25" s="801"/>
    </row>
    <row r="26" spans="1:11" ht="14.25">
      <c r="A26" s="809" t="str">
        <f>'HO-Devel. Bud'!A92</f>
        <v>Total </v>
      </c>
      <c r="B26" s="808">
        <f>'HO-Devel. Bud'!D92</f>
        <v>0</v>
      </c>
      <c r="C26" s="810" t="e">
        <f>B26/UNITS_HO</f>
        <v>#DIV/0!</v>
      </c>
      <c r="D26" s="811" t="e">
        <f>SUM(D18:D24)</f>
        <v>#DIV/0!</v>
      </c>
      <c r="G26" s="801"/>
      <c r="H26" s="806"/>
      <c r="I26" s="806"/>
      <c r="J26" s="812"/>
      <c r="K26" s="801"/>
    </row>
    <row r="27" spans="1:11" ht="14.25">
      <c r="A27" s="809"/>
      <c r="B27" s="815"/>
      <c r="C27" s="815"/>
      <c r="D27" s="811"/>
      <c r="G27" s="801"/>
      <c r="H27" s="806"/>
      <c r="I27" s="806"/>
      <c r="J27" s="812"/>
      <c r="K27" s="801"/>
    </row>
    <row r="28" spans="1:10" ht="14.25">
      <c r="A28" s="809"/>
      <c r="B28" s="801"/>
      <c r="C28" s="810"/>
      <c r="D28" s="806"/>
      <c r="G28" s="801"/>
      <c r="H28" s="806"/>
      <c r="I28" s="814"/>
      <c r="J28" s="812"/>
    </row>
    <row r="29" spans="1:10" ht="15">
      <c r="A29" s="817" t="s">
        <v>507</v>
      </c>
      <c r="B29" s="812"/>
      <c r="C29" s="810"/>
      <c r="D29" s="806"/>
      <c r="G29" s="801"/>
      <c r="H29" s="806"/>
      <c r="I29" s="806"/>
      <c r="J29" s="812"/>
    </row>
    <row r="30" spans="1:10" ht="14.25">
      <c r="A30" s="809" t="s">
        <v>508</v>
      </c>
      <c r="B30" s="820">
        <f>'HO-Devel. Bud'!D15</f>
        <v>0</v>
      </c>
      <c r="C30" s="810" t="e">
        <f>B30/UNITS_HO</f>
        <v>#DIV/0!</v>
      </c>
      <c r="D30" s="811" t="e">
        <f>B30/B35</f>
        <v>#DIV/0!</v>
      </c>
      <c r="G30" s="801"/>
      <c r="H30" s="806"/>
      <c r="I30" s="821"/>
      <c r="J30" s="812"/>
    </row>
    <row r="31" spans="1:10" ht="14.25">
      <c r="A31" s="809" t="s">
        <v>509</v>
      </c>
      <c r="B31" s="808">
        <f>'HO-Devel. Bud'!D25</f>
        <v>0</v>
      </c>
      <c r="C31" s="810" t="e">
        <f>B31/UNITS_HO</f>
        <v>#DIV/0!</v>
      </c>
      <c r="D31" s="811" t="e">
        <f>B31/B35</f>
        <v>#DIV/0!</v>
      </c>
      <c r="G31" s="806"/>
      <c r="H31" s="806"/>
      <c r="I31" s="806"/>
      <c r="J31" s="822"/>
    </row>
    <row r="32" spans="1:10" ht="14.25">
      <c r="A32" s="823" t="s">
        <v>510</v>
      </c>
      <c r="B32" s="808" t="e">
        <f>'HO-Devel. Bud'!D68+'HO-Devel. Bud'!D8</f>
        <v>#DIV/0!</v>
      </c>
      <c r="C32" s="810" t="e">
        <f>B32/UNITS_HO</f>
        <v>#DIV/0!</v>
      </c>
      <c r="D32" s="811" t="e">
        <f>B32/B35</f>
        <v>#DIV/0!</v>
      </c>
      <c r="G32" s="806"/>
      <c r="H32" s="806"/>
      <c r="I32" s="806"/>
      <c r="J32" s="822"/>
    </row>
    <row r="33" spans="1:10" ht="14.25">
      <c r="A33" s="823" t="s">
        <v>61</v>
      </c>
      <c r="B33" s="808">
        <f>'HO-Devel. Bud'!D70</f>
        <v>0</v>
      </c>
      <c r="C33" s="810" t="e">
        <f>B33/UNITS_HO</f>
        <v>#DIV/0!</v>
      </c>
      <c r="D33" s="811" t="e">
        <f>B33/B35</f>
        <v>#DIV/0!</v>
      </c>
      <c r="G33" s="806"/>
      <c r="H33" s="806"/>
      <c r="I33" s="806"/>
      <c r="J33" s="822"/>
    </row>
    <row r="34" spans="1:10" ht="14.25">
      <c r="A34" s="824"/>
      <c r="B34" s="815" t="s">
        <v>511</v>
      </c>
      <c r="C34" s="815" t="s">
        <v>511</v>
      </c>
      <c r="D34" s="811"/>
      <c r="G34" s="806"/>
      <c r="H34" s="806"/>
      <c r="I34" s="806"/>
      <c r="J34" s="822"/>
    </row>
    <row r="35" spans="1:10" ht="14.25">
      <c r="A35" s="809" t="s">
        <v>14</v>
      </c>
      <c r="B35" s="808" t="e">
        <f>SUM(B30:B34)</f>
        <v>#DIV/0!</v>
      </c>
      <c r="C35" s="810" t="e">
        <f>B35/UNITS_HO</f>
        <v>#DIV/0!</v>
      </c>
      <c r="D35" s="811" t="e">
        <f>SUM(D30:D34)</f>
        <v>#DIV/0!</v>
      </c>
      <c r="G35" s="806"/>
      <c r="H35" s="806"/>
      <c r="I35" s="806"/>
      <c r="J35" s="822"/>
    </row>
    <row r="36" spans="1:10" ht="14.25">
      <c r="A36" s="801"/>
      <c r="B36" s="801"/>
      <c r="C36" s="825"/>
      <c r="D36" s="806"/>
      <c r="G36" s="806"/>
      <c r="H36" s="806"/>
      <c r="I36" s="806"/>
      <c r="J36" s="822"/>
    </row>
    <row r="37" spans="1:10" ht="14.25">
      <c r="A37" s="801"/>
      <c r="B37" s="825"/>
      <c r="C37" s="825"/>
      <c r="D37" s="806"/>
      <c r="G37" s="806"/>
      <c r="H37" s="806"/>
      <c r="I37" s="806"/>
      <c r="J37" s="806"/>
    </row>
    <row r="38" spans="1:10" ht="14.25">
      <c r="A38" s="826"/>
      <c r="B38" s="827">
        <f ca="1">NOW()</f>
        <v>40858.72229074074</v>
      </c>
      <c r="C38" s="808"/>
      <c r="D38" s="806"/>
      <c r="G38" s="806"/>
      <c r="H38" s="806"/>
      <c r="I38" s="806"/>
      <c r="J38" s="806"/>
    </row>
    <row r="39" spans="1:10" ht="14.25">
      <c r="A39" s="801"/>
      <c r="B39" s="801"/>
      <c r="C39" s="808"/>
      <c r="D39" s="801"/>
      <c r="E39" s="801"/>
      <c r="F39" s="801"/>
      <c r="G39" s="801"/>
      <c r="H39" s="801"/>
      <c r="I39" s="801"/>
      <c r="J39" s="801"/>
    </row>
    <row r="40" spans="1:10" ht="14.25">
      <c r="A40" s="801"/>
      <c r="B40" s="801"/>
      <c r="C40" s="808"/>
      <c r="D40" s="801"/>
      <c r="E40" s="801"/>
      <c r="F40" s="801"/>
      <c r="G40" s="801"/>
      <c r="H40" s="801"/>
      <c r="I40" s="801"/>
      <c r="J40" s="801"/>
    </row>
    <row r="41" spans="1:10" ht="14.25">
      <c r="A41" s="801"/>
      <c r="B41" s="801"/>
      <c r="C41" s="808"/>
      <c r="D41" s="801"/>
      <c r="E41" s="801"/>
      <c r="F41" s="801"/>
      <c r="G41" s="801"/>
      <c r="H41" s="801"/>
      <c r="I41" s="801"/>
      <c r="J41" s="801"/>
    </row>
  </sheetData>
  <sheetProtection/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tabColor indexed="26"/>
  </sheetPr>
  <dimension ref="A1:R96"/>
  <sheetViews>
    <sheetView defaultGridColor="0" view="pageBreakPreview" zoomScale="70" zoomScaleNormal="70" zoomScaleSheetLayoutView="70" zoomScalePageLayoutView="0" colorId="22" workbookViewId="0" topLeftCell="A1">
      <selection activeCell="A4" sqref="A4"/>
    </sheetView>
  </sheetViews>
  <sheetFormatPr defaultColWidth="9.77734375" defaultRowHeight="15"/>
  <cols>
    <col min="1" max="1" width="32.6640625" style="802" customWidth="1"/>
    <col min="2" max="2" width="10.99609375" style="802" bestFit="1" customWidth="1"/>
    <col min="3" max="3" width="11.99609375" style="802" customWidth="1"/>
    <col min="4" max="4" width="13.77734375" style="981" customWidth="1"/>
    <col min="5" max="5" width="11.77734375" style="802" bestFit="1" customWidth="1"/>
    <col min="6" max="6" width="14.3359375" style="802" customWidth="1"/>
    <col min="7" max="7" width="13.99609375" style="802" customWidth="1"/>
    <col min="8" max="10" width="9.77734375" style="802" customWidth="1"/>
    <col min="11" max="11" width="12.4453125" style="802" customWidth="1"/>
    <col min="12" max="12" width="11.88671875" style="802" bestFit="1" customWidth="1"/>
    <col min="13" max="13" width="14.5546875" style="802" bestFit="1" customWidth="1"/>
    <col min="14" max="14" width="17.88671875" style="802" customWidth="1"/>
    <col min="15" max="15" width="11.88671875" style="802" customWidth="1"/>
    <col min="16" max="16" width="10.77734375" style="802" bestFit="1" customWidth="1"/>
    <col min="17" max="17" width="10.10546875" style="802" bestFit="1" customWidth="1"/>
    <col min="18" max="16384" width="9.77734375" style="802" customWidth="1"/>
  </cols>
  <sheetData>
    <row r="1" spans="1:7" ht="15">
      <c r="A1" s="804" t="str">
        <f>'HO-Sources and Uses'!A1</f>
        <v>Willets Point Phase 1 Development</v>
      </c>
      <c r="B1" s="828"/>
      <c r="C1" s="828"/>
      <c r="D1" s="829"/>
      <c r="E1" s="801"/>
      <c r="F1" s="830"/>
      <c r="G1" s="831"/>
    </row>
    <row r="2" spans="1:7" ht="15">
      <c r="A2" s="804">
        <f>'HO-Sources and Uses'!A2</f>
        <v>0</v>
      </c>
      <c r="B2" s="828"/>
      <c r="C2" s="828"/>
      <c r="D2" s="832"/>
      <c r="E2" s="801"/>
      <c r="F2" s="801"/>
      <c r="G2" s="831"/>
    </row>
    <row r="3" spans="1:7" ht="15">
      <c r="A3" s="804"/>
      <c r="B3" s="828"/>
      <c r="C3" s="828"/>
      <c r="D3" s="832"/>
      <c r="E3" s="801"/>
      <c r="F3" s="801"/>
      <c r="G3" s="831"/>
    </row>
    <row r="4" spans="1:7" ht="15">
      <c r="A4" s="828" t="s">
        <v>512</v>
      </c>
      <c r="B4" s="828"/>
      <c r="C4" s="833"/>
      <c r="D4" s="810"/>
      <c r="E4" s="801"/>
      <c r="F4" s="801"/>
      <c r="G4" s="831"/>
    </row>
    <row r="5" spans="1:7" ht="14.25">
      <c r="A5" s="801"/>
      <c r="B5" s="801"/>
      <c r="C5" s="801"/>
      <c r="D5" s="834"/>
      <c r="E5" s="801"/>
      <c r="F5" s="801"/>
      <c r="G5" s="801"/>
    </row>
    <row r="6" spans="1:7" ht="14.25">
      <c r="A6" s="801"/>
      <c r="B6" s="801"/>
      <c r="C6" s="801"/>
      <c r="D6" s="1372"/>
      <c r="E6" s="801"/>
      <c r="F6" s="801"/>
      <c r="G6" s="835"/>
    </row>
    <row r="7" spans="1:7" ht="14.25">
      <c r="A7" s="836" t="s">
        <v>513</v>
      </c>
      <c r="B7" s="837"/>
      <c r="C7" s="836"/>
      <c r="D7" s="1371"/>
      <c r="E7" s="836"/>
      <c r="F7" s="838"/>
      <c r="G7" s="801"/>
    </row>
    <row r="8" spans="1:7" ht="14.25">
      <c r="A8" s="839" t="s">
        <v>514</v>
      </c>
      <c r="B8" s="840"/>
      <c r="C8" s="839"/>
      <c r="D8" s="841"/>
      <c r="E8" s="839"/>
      <c r="F8" s="842"/>
      <c r="G8" s="801"/>
    </row>
    <row r="9" spans="1:7" ht="14.25">
      <c r="A9" s="839"/>
      <c r="B9" s="840"/>
      <c r="C9" s="839"/>
      <c r="D9" s="843"/>
      <c r="E9" s="839"/>
      <c r="F9" s="842"/>
      <c r="G9" s="801"/>
    </row>
    <row r="10" spans="1:7" ht="14.25">
      <c r="A10" s="844" t="s">
        <v>515</v>
      </c>
      <c r="B10" s="845"/>
      <c r="C10" s="845"/>
      <c r="D10" s="846"/>
      <c r="E10" s="847"/>
      <c r="F10" s="848"/>
      <c r="G10" s="801"/>
    </row>
    <row r="11" spans="1:7" ht="15">
      <c r="A11" s="849" t="s">
        <v>516</v>
      </c>
      <c r="B11" s="845"/>
      <c r="C11" s="845"/>
      <c r="D11" s="850">
        <v>0</v>
      </c>
      <c r="E11" s="847"/>
      <c r="F11" s="848"/>
      <c r="G11" s="801"/>
    </row>
    <row r="12" spans="1:7" ht="14.25">
      <c r="A12" s="849" t="s">
        <v>517</v>
      </c>
      <c r="B12" s="851">
        <v>0.01425</v>
      </c>
      <c r="C12" s="839" t="s">
        <v>518</v>
      </c>
      <c r="D12" s="846">
        <f>D11*B12</f>
        <v>0</v>
      </c>
      <c r="E12" s="839"/>
      <c r="F12" s="842"/>
      <c r="G12" s="801"/>
    </row>
    <row r="13" spans="1:7" ht="14.25">
      <c r="A13" s="849" t="s">
        <v>519</v>
      </c>
      <c r="B13" s="852">
        <v>0.004</v>
      </c>
      <c r="C13" s="839" t="str">
        <f>C12</f>
        <v>of acquisition</v>
      </c>
      <c r="D13" s="853">
        <f>B13*D11</f>
        <v>0</v>
      </c>
      <c r="E13" s="839"/>
      <c r="F13" s="842"/>
      <c r="G13" s="801"/>
    </row>
    <row r="14" spans="1:7" ht="14.25">
      <c r="A14" s="849"/>
      <c r="B14" s="854"/>
      <c r="C14" s="839"/>
      <c r="D14" s="853"/>
      <c r="E14" s="839"/>
      <c r="F14" s="842"/>
      <c r="G14" s="801"/>
    </row>
    <row r="15" spans="1:8" ht="15">
      <c r="A15" s="855" t="s">
        <v>520</v>
      </c>
      <c r="B15" s="856" t="e">
        <f>D15/UNITS_HO</f>
        <v>#DIV/0!</v>
      </c>
      <c r="C15" s="857" t="s">
        <v>48</v>
      </c>
      <c r="D15" s="858">
        <f>SUM(D11:D13)</f>
        <v>0</v>
      </c>
      <c r="E15" s="839"/>
      <c r="F15" s="842"/>
      <c r="G15" s="801"/>
      <c r="H15" s="801"/>
    </row>
    <row r="16" spans="1:8" ht="14.25">
      <c r="A16" s="849"/>
      <c r="D16" s="853"/>
      <c r="E16" s="839"/>
      <c r="F16" s="842"/>
      <c r="G16" s="801"/>
      <c r="H16" s="801"/>
    </row>
    <row r="17" spans="1:8" ht="14.25">
      <c r="A17" s="849"/>
      <c r="B17" s="856"/>
      <c r="C17" s="857"/>
      <c r="D17" s="853"/>
      <c r="E17" s="839"/>
      <c r="F17" s="842"/>
      <c r="G17" s="801"/>
      <c r="H17" s="801"/>
    </row>
    <row r="18" spans="1:8" ht="14.25">
      <c r="A18" s="844" t="s">
        <v>521</v>
      </c>
      <c r="B18" s="859"/>
      <c r="C18" s="845"/>
      <c r="D18" s="853"/>
      <c r="E18" s="860"/>
      <c r="F18" s="842"/>
      <c r="G18" s="801"/>
      <c r="H18" s="801"/>
    </row>
    <row r="19" spans="1:7" ht="14.25">
      <c r="A19" s="861" t="s">
        <v>184</v>
      </c>
      <c r="B19" s="862"/>
      <c r="C19" s="863"/>
      <c r="D19" s="864"/>
      <c r="E19" s="847"/>
      <c r="F19" s="848"/>
      <c r="G19" s="865"/>
    </row>
    <row r="20" spans="1:7" ht="14.25">
      <c r="A20" s="866" t="s">
        <v>178</v>
      </c>
      <c r="B20" s="862"/>
      <c r="C20" s="863"/>
      <c r="D20" s="867"/>
      <c r="E20" s="847"/>
      <c r="F20" s="848"/>
      <c r="G20" s="801"/>
    </row>
    <row r="21" spans="1:7" ht="15">
      <c r="A21" s="868" t="s">
        <v>180</v>
      </c>
      <c r="B21" s="869" t="e">
        <f>D21/UNITS_HO</f>
        <v>#DIV/0!</v>
      </c>
      <c r="C21" s="826" t="s">
        <v>48</v>
      </c>
      <c r="D21" s="870"/>
      <c r="E21" s="552" t="e">
        <f>D21/'HO-Unit &amp; Income'!B19</f>
        <v>#DIV/0!</v>
      </c>
      <c r="F21" s="37" t="s">
        <v>115</v>
      </c>
      <c r="G21" s="801"/>
    </row>
    <row r="22" spans="1:7" ht="15">
      <c r="A22" s="871" t="s">
        <v>246</v>
      </c>
      <c r="B22" s="872"/>
      <c r="C22" s="826"/>
      <c r="D22" s="870"/>
      <c r="E22" s="552" t="e">
        <f>D22/'HO-Unit &amp; Income'!B20</f>
        <v>#DIV/0!</v>
      </c>
      <c r="F22" s="37" t="s">
        <v>115</v>
      </c>
      <c r="G22" s="801"/>
    </row>
    <row r="23" spans="1:7" ht="15">
      <c r="A23" s="868" t="s">
        <v>179</v>
      </c>
      <c r="B23" s="872"/>
      <c r="C23" s="826"/>
      <c r="D23" s="870"/>
      <c r="E23" s="552" t="e">
        <f>D23/'HO-Unit &amp; Income'!B21</f>
        <v>#DIV/0!</v>
      </c>
      <c r="F23" s="37" t="s">
        <v>115</v>
      </c>
      <c r="G23" s="801"/>
    </row>
    <row r="24" spans="1:7" ht="15">
      <c r="A24" s="868" t="s">
        <v>114</v>
      </c>
      <c r="B24" s="873"/>
      <c r="C24" s="847"/>
      <c r="D24" s="870"/>
      <c r="E24" s="552" t="e">
        <f>D24/'HO-Unit &amp; Income'!B22</f>
        <v>#DIV/0!</v>
      </c>
      <c r="F24" s="37" t="s">
        <v>115</v>
      </c>
      <c r="G24" s="801"/>
    </row>
    <row r="25" spans="1:7" ht="16.5">
      <c r="A25" s="866" t="s">
        <v>72</v>
      </c>
      <c r="B25" s="874"/>
      <c r="C25" s="875"/>
      <c r="D25" s="876">
        <f>B25*(D21+D22+D23+D24)</f>
        <v>0</v>
      </c>
      <c r="E25" s="877"/>
      <c r="F25" s="848"/>
      <c r="G25" s="801"/>
    </row>
    <row r="26" spans="1:8" ht="15">
      <c r="A26" s="878" t="s">
        <v>182</v>
      </c>
      <c r="B26" s="872" t="e">
        <f>D26/F1</f>
        <v>#DIV/0!</v>
      </c>
      <c r="C26" s="826" t="s">
        <v>48</v>
      </c>
      <c r="D26" s="879">
        <f>SUM(D21:D25)</f>
        <v>0</v>
      </c>
      <c r="E26" s="877" t="e">
        <f>D26/F1</f>
        <v>#DIV/0!</v>
      </c>
      <c r="F26" s="880" t="s">
        <v>110</v>
      </c>
      <c r="G26" s="801"/>
      <c r="H26" s="881"/>
    </row>
    <row r="27" spans="1:14" ht="14.25">
      <c r="A27" s="849"/>
      <c r="B27" s="840"/>
      <c r="C27" s="839"/>
      <c r="D27" s="853"/>
      <c r="E27" s="839"/>
      <c r="F27" s="842"/>
      <c r="G27" s="801"/>
      <c r="H27" s="801"/>
      <c r="I27" s="801"/>
      <c r="J27" s="801"/>
      <c r="K27" s="801"/>
      <c r="L27" s="801"/>
      <c r="M27" s="801"/>
      <c r="N27" s="801"/>
    </row>
    <row r="28" spans="1:14" ht="14.25">
      <c r="A28" s="844" t="s">
        <v>522</v>
      </c>
      <c r="B28" s="859"/>
      <c r="C28" s="845"/>
      <c r="D28" s="853"/>
      <c r="E28" s="839"/>
      <c r="F28" s="842"/>
      <c r="G28" s="801"/>
      <c r="H28" s="801"/>
      <c r="I28" s="801"/>
      <c r="J28" s="801"/>
      <c r="K28" s="801"/>
      <c r="L28" s="801"/>
      <c r="M28" s="801"/>
      <c r="N28" s="801"/>
    </row>
    <row r="29" spans="1:14" ht="14.25">
      <c r="A29" s="849" t="s">
        <v>523</v>
      </c>
      <c r="B29" s="840"/>
      <c r="C29" s="839"/>
      <c r="D29" s="870"/>
      <c r="E29" s="839"/>
      <c r="F29" s="842"/>
      <c r="G29" s="801"/>
      <c r="H29" s="801"/>
      <c r="I29" s="801"/>
      <c r="J29" s="801"/>
      <c r="K29" s="801"/>
      <c r="L29" s="801"/>
      <c r="M29" s="801"/>
      <c r="N29" s="801"/>
    </row>
    <row r="30" spans="1:15" ht="14.25">
      <c r="A30" s="849" t="s">
        <v>50</v>
      </c>
      <c r="B30" s="840"/>
      <c r="C30" s="839"/>
      <c r="D30" s="870"/>
      <c r="E30" s="839"/>
      <c r="F30" s="842"/>
      <c r="G30" s="801"/>
      <c r="H30" s="801"/>
      <c r="I30" s="801"/>
      <c r="J30" s="801"/>
      <c r="K30" s="839"/>
      <c r="L30" s="839"/>
      <c r="M30" s="839"/>
      <c r="N30" s="839"/>
      <c r="O30" s="882"/>
    </row>
    <row r="31" spans="1:15" ht="14.25">
      <c r="A31" s="849" t="s">
        <v>524</v>
      </c>
      <c r="B31" s="840"/>
      <c r="C31" s="839"/>
      <c r="D31" s="870"/>
      <c r="E31" s="883" t="e">
        <f>D31/D26</f>
        <v>#DIV/0!</v>
      </c>
      <c r="F31" s="842" t="s">
        <v>525</v>
      </c>
      <c r="G31" s="801"/>
      <c r="H31" s="801"/>
      <c r="I31" s="801"/>
      <c r="J31" s="801"/>
      <c r="K31" s="839"/>
      <c r="L31" s="839"/>
      <c r="M31" s="884"/>
      <c r="N31" s="839"/>
      <c r="O31" s="882"/>
    </row>
    <row r="32" spans="1:15" ht="14.25">
      <c r="A32" s="849" t="s">
        <v>526</v>
      </c>
      <c r="B32" s="840"/>
      <c r="C32" s="839"/>
      <c r="D32" s="870"/>
      <c r="E32" s="839"/>
      <c r="F32" s="842"/>
      <c r="G32" s="801"/>
      <c r="H32" s="801"/>
      <c r="I32" s="801"/>
      <c r="J32" s="801"/>
      <c r="K32" s="839"/>
      <c r="L32" s="885"/>
      <c r="M32" s="839"/>
      <c r="N32" s="839"/>
      <c r="O32" s="882"/>
    </row>
    <row r="33" spans="1:15" ht="14.25">
      <c r="A33" s="886" t="s">
        <v>527</v>
      </c>
      <c r="B33" s="887"/>
      <c r="C33" s="888"/>
      <c r="D33" s="870"/>
      <c r="E33" s="839"/>
      <c r="F33" s="842"/>
      <c r="G33" s="801"/>
      <c r="H33" s="801"/>
      <c r="I33" s="801"/>
      <c r="J33" s="801"/>
      <c r="K33" s="839"/>
      <c r="L33" s="889"/>
      <c r="M33" s="890"/>
      <c r="N33" s="839"/>
      <c r="O33" s="882"/>
    </row>
    <row r="34" spans="1:15" ht="14.25">
      <c r="A34" s="886" t="s">
        <v>528</v>
      </c>
      <c r="B34" s="887"/>
      <c r="C34" s="888"/>
      <c r="D34" s="870"/>
      <c r="E34" s="839"/>
      <c r="F34" s="842"/>
      <c r="G34" s="801"/>
      <c r="H34" s="801"/>
      <c r="I34" s="801"/>
      <c r="J34" s="801"/>
      <c r="K34" s="839"/>
      <c r="L34" s="889"/>
      <c r="M34" s="890"/>
      <c r="N34" s="839"/>
      <c r="O34" s="882"/>
    </row>
    <row r="35" spans="1:15" ht="14.25">
      <c r="A35" s="886" t="s">
        <v>529</v>
      </c>
      <c r="B35" s="887"/>
      <c r="C35" s="888"/>
      <c r="D35" s="870"/>
      <c r="E35" s="839"/>
      <c r="F35" s="842"/>
      <c r="G35" s="801"/>
      <c r="H35" s="801"/>
      <c r="I35" s="801"/>
      <c r="J35" s="801"/>
      <c r="K35" s="839"/>
      <c r="L35" s="889"/>
      <c r="M35" s="890"/>
      <c r="N35" s="839"/>
      <c r="O35" s="882"/>
    </row>
    <row r="36" spans="1:15" ht="14.25">
      <c r="A36" s="891" t="s">
        <v>56</v>
      </c>
      <c r="B36" s="887"/>
      <c r="C36" s="888"/>
      <c r="D36" s="870"/>
      <c r="E36" s="839"/>
      <c r="F36" s="842"/>
      <c r="G36" s="801"/>
      <c r="H36" s="801"/>
      <c r="I36" s="801"/>
      <c r="J36" s="801"/>
      <c r="K36" s="839"/>
      <c r="L36" s="889"/>
      <c r="M36" s="890"/>
      <c r="N36" s="839"/>
      <c r="O36" s="882"/>
    </row>
    <row r="37" spans="1:15" ht="14.25">
      <c r="A37" s="891" t="s">
        <v>118</v>
      </c>
      <c r="B37" s="887"/>
      <c r="C37" s="888"/>
      <c r="D37" s="870"/>
      <c r="E37" s="839"/>
      <c r="F37" s="842"/>
      <c r="G37" s="801"/>
      <c r="H37" s="801"/>
      <c r="I37" s="801"/>
      <c r="J37" s="801"/>
      <c r="K37" s="839"/>
      <c r="L37" s="889"/>
      <c r="M37" s="890"/>
      <c r="N37" s="839"/>
      <c r="O37" s="882"/>
    </row>
    <row r="38" spans="1:15" ht="14.25">
      <c r="A38" s="891" t="s">
        <v>530</v>
      </c>
      <c r="B38" s="887"/>
      <c r="C38" s="888"/>
      <c r="D38" s="870"/>
      <c r="E38" s="839"/>
      <c r="F38" s="842"/>
      <c r="G38" s="801"/>
      <c r="H38" s="801"/>
      <c r="I38" s="801"/>
      <c r="J38" s="801"/>
      <c r="K38" s="839"/>
      <c r="L38" s="889"/>
      <c r="M38" s="890"/>
      <c r="N38" s="839"/>
      <c r="O38" s="882"/>
    </row>
    <row r="39" spans="1:15" ht="14.25">
      <c r="A39" s="891" t="s">
        <v>531</v>
      </c>
      <c r="B39" s="887"/>
      <c r="C39" s="888"/>
      <c r="D39" s="870"/>
      <c r="E39" s="839"/>
      <c r="F39" s="842"/>
      <c r="G39" s="801"/>
      <c r="H39" s="801"/>
      <c r="I39" s="801"/>
      <c r="J39" s="801"/>
      <c r="K39" s="839"/>
      <c r="L39" s="889"/>
      <c r="M39" s="890"/>
      <c r="N39" s="839"/>
      <c r="O39" s="882"/>
    </row>
    <row r="40" spans="1:15" ht="14.25">
      <c r="A40" s="891" t="s">
        <v>55</v>
      </c>
      <c r="B40" s="892"/>
      <c r="C40" s="893"/>
      <c r="D40" s="870"/>
      <c r="E40" s="839"/>
      <c r="F40" s="842"/>
      <c r="G40" s="801"/>
      <c r="H40" s="801"/>
      <c r="I40" s="801"/>
      <c r="J40" s="801"/>
      <c r="K40" s="882"/>
      <c r="L40" s="839"/>
      <c r="M40" s="894"/>
      <c r="N40" s="885"/>
      <c r="O40" s="882"/>
    </row>
    <row r="41" spans="1:15" ht="14.25">
      <c r="A41" s="895" t="s">
        <v>532</v>
      </c>
      <c r="B41" s="852"/>
      <c r="C41" s="893"/>
      <c r="D41" s="896"/>
      <c r="E41" s="888" t="s">
        <v>533</v>
      </c>
      <c r="F41" s="842"/>
      <c r="G41" s="801"/>
      <c r="H41" s="801"/>
      <c r="I41" s="801"/>
      <c r="J41" s="801"/>
      <c r="K41" s="882"/>
      <c r="L41" s="839"/>
      <c r="M41" s="894"/>
      <c r="N41" s="885"/>
      <c r="O41" s="882"/>
    </row>
    <row r="42" spans="1:15" ht="15">
      <c r="A42" s="897" t="s">
        <v>52</v>
      </c>
      <c r="B42" s="887"/>
      <c r="C42" s="888"/>
      <c r="D42" s="898">
        <f>SUM(D29:D41)</f>
        <v>0</v>
      </c>
      <c r="E42" s="839"/>
      <c r="F42" s="842"/>
      <c r="G42" s="801"/>
      <c r="H42" s="801"/>
      <c r="J42" s="801"/>
      <c r="K42" s="882"/>
      <c r="L42" s="882"/>
      <c r="M42" s="839"/>
      <c r="N42" s="885"/>
      <c r="O42" s="882"/>
    </row>
    <row r="43" spans="1:15" ht="15">
      <c r="A43" s="897"/>
      <c r="B43" s="887"/>
      <c r="C43" s="888"/>
      <c r="D43" s="879"/>
      <c r="E43" s="839"/>
      <c r="F43" s="842"/>
      <c r="G43" s="801"/>
      <c r="H43" s="801"/>
      <c r="J43" s="801"/>
      <c r="K43" s="882"/>
      <c r="L43" s="882"/>
      <c r="M43" s="839"/>
      <c r="N43" s="885"/>
      <c r="O43" s="882"/>
    </row>
    <row r="44" spans="1:15" ht="14.25">
      <c r="A44" s="895" t="s">
        <v>534</v>
      </c>
      <c r="B44" s="887"/>
      <c r="C44" s="888"/>
      <c r="D44" s="846"/>
      <c r="E44" s="839"/>
      <c r="F44" s="842"/>
      <c r="G44" s="801"/>
      <c r="H44" s="801"/>
      <c r="I44" s="801"/>
      <c r="J44" s="801"/>
      <c r="K44" s="839"/>
      <c r="L44" s="839"/>
      <c r="M44" s="899"/>
      <c r="N44" s="899"/>
      <c r="O44" s="882"/>
    </row>
    <row r="45" spans="1:15" ht="14.25">
      <c r="A45" s="886" t="s">
        <v>535</v>
      </c>
      <c r="B45" s="852"/>
      <c r="C45" s="888"/>
      <c r="D45" s="900"/>
      <c r="E45" s="901"/>
      <c r="F45" s="902"/>
      <c r="G45" s="903"/>
      <c r="H45" s="801"/>
      <c r="I45" s="801"/>
      <c r="J45" s="801"/>
      <c r="K45" s="860"/>
      <c r="L45" s="904"/>
      <c r="M45" s="905"/>
      <c r="N45" s="906"/>
      <c r="O45" s="882"/>
    </row>
    <row r="46" spans="1:15" ht="14.25">
      <c r="A46" s="886" t="s">
        <v>536</v>
      </c>
      <c r="B46" s="907"/>
      <c r="C46" s="893"/>
      <c r="D46" s="870"/>
      <c r="F46" s="842"/>
      <c r="G46" s="801"/>
      <c r="H46" s="801"/>
      <c r="I46" s="801"/>
      <c r="J46" s="801"/>
      <c r="K46" s="882"/>
      <c r="L46" s="882"/>
      <c r="M46" s="882"/>
      <c r="N46" s="882"/>
      <c r="O46" s="882"/>
    </row>
    <row r="47" spans="1:15" ht="14.25">
      <c r="A47" s="908" t="s">
        <v>537</v>
      </c>
      <c r="B47" s="907"/>
      <c r="C47" s="893"/>
      <c r="D47" s="870"/>
      <c r="F47" s="842"/>
      <c r="G47" s="801"/>
      <c r="H47" s="801"/>
      <c r="I47" s="801"/>
      <c r="J47" s="801"/>
      <c r="K47" s="882"/>
      <c r="L47" s="882"/>
      <c r="M47" s="882"/>
      <c r="N47" s="882"/>
      <c r="O47" s="882"/>
    </row>
    <row r="48" spans="1:15" ht="14.25">
      <c r="A48" s="909" t="s">
        <v>537</v>
      </c>
      <c r="B48" s="907"/>
      <c r="C48" s="893"/>
      <c r="D48" s="870"/>
      <c r="F48" s="842"/>
      <c r="G48" s="801"/>
      <c r="H48" s="801"/>
      <c r="I48" s="801"/>
      <c r="J48" s="801"/>
      <c r="K48" s="882"/>
      <c r="L48" s="882"/>
      <c r="M48" s="882"/>
      <c r="N48" s="882"/>
      <c r="O48" s="882"/>
    </row>
    <row r="49" spans="1:15" ht="15">
      <c r="A49" s="897" t="s">
        <v>52</v>
      </c>
      <c r="B49" s="887"/>
      <c r="C49" s="888"/>
      <c r="D49" s="879">
        <f>SUM(D45:D48)</f>
        <v>0</v>
      </c>
      <c r="E49" s="839"/>
      <c r="F49" s="842"/>
      <c r="G49" s="801"/>
      <c r="H49" s="801"/>
      <c r="I49" s="801"/>
      <c r="J49" s="801"/>
      <c r="K49" s="883"/>
      <c r="L49" s="904"/>
      <c r="M49" s="901"/>
      <c r="N49" s="910"/>
      <c r="O49" s="882"/>
    </row>
    <row r="50" spans="1:15" ht="15">
      <c r="A50" s="886"/>
      <c r="B50" s="887"/>
      <c r="C50" s="888"/>
      <c r="D50" s="911"/>
      <c r="E50" s="884"/>
      <c r="F50" s="842"/>
      <c r="G50" s="801"/>
      <c r="H50" s="801"/>
      <c r="I50" s="801"/>
      <c r="J50" s="801"/>
      <c r="K50" s="890"/>
      <c r="L50" s="890"/>
      <c r="M50" s="890"/>
      <c r="N50" s="912"/>
      <c r="O50" s="882"/>
    </row>
    <row r="51" spans="1:15" ht="15">
      <c r="A51" s="895" t="s">
        <v>538</v>
      </c>
      <c r="B51" s="887"/>
      <c r="C51" s="888"/>
      <c r="D51" s="911"/>
      <c r="E51" s="884"/>
      <c r="F51" s="842"/>
      <c r="G51" s="801"/>
      <c r="H51" s="801"/>
      <c r="I51" s="801"/>
      <c r="J51" s="801"/>
      <c r="K51" s="890"/>
      <c r="L51" s="890"/>
      <c r="M51" s="890"/>
      <c r="N51" s="912"/>
      <c r="O51" s="882"/>
    </row>
    <row r="52" spans="1:18" ht="15">
      <c r="A52" s="886" t="s">
        <v>57</v>
      </c>
      <c r="B52" s="887"/>
      <c r="C52" s="888"/>
      <c r="D52" s="846">
        <v>0</v>
      </c>
      <c r="E52" s="839"/>
      <c r="F52" s="842"/>
      <c r="H52" s="801"/>
      <c r="I52" s="801"/>
      <c r="J52" s="801"/>
      <c r="K52" s="839"/>
      <c r="L52" s="839"/>
      <c r="M52" s="839"/>
      <c r="N52" s="912"/>
      <c r="O52" s="882"/>
      <c r="R52" s="802" t="s">
        <v>119</v>
      </c>
    </row>
    <row r="53" spans="1:15" ht="14.25">
      <c r="A53" s="886" t="s">
        <v>539</v>
      </c>
      <c r="B53" s="852"/>
      <c r="C53" s="888"/>
      <c r="D53" s="870"/>
      <c r="E53" s="839"/>
      <c r="F53" s="842"/>
      <c r="G53" s="801"/>
      <c r="H53" s="801"/>
      <c r="I53" s="801"/>
      <c r="J53" s="801"/>
      <c r="K53" s="882"/>
      <c r="L53" s="882"/>
      <c r="M53" s="882"/>
      <c r="N53" s="882"/>
      <c r="O53" s="882"/>
    </row>
    <row r="54" spans="1:15" ht="14.25">
      <c r="A54" s="886" t="s">
        <v>540</v>
      </c>
      <c r="B54" s="852"/>
      <c r="C54" s="888"/>
      <c r="D54" s="870"/>
      <c r="E54" s="839"/>
      <c r="F54" s="842"/>
      <c r="G54" s="801"/>
      <c r="H54" s="801"/>
      <c r="I54" s="801"/>
      <c r="J54" s="801"/>
      <c r="K54" s="882"/>
      <c r="L54" s="882"/>
      <c r="M54" s="882"/>
      <c r="N54" s="882"/>
      <c r="O54" s="882"/>
    </row>
    <row r="55" spans="1:15" ht="14.25">
      <c r="A55" s="886" t="s">
        <v>454</v>
      </c>
      <c r="B55" s="887"/>
      <c r="C55" s="888"/>
      <c r="D55" s="870"/>
      <c r="E55" s="839"/>
      <c r="F55" s="842"/>
      <c r="G55" s="801"/>
      <c r="H55" s="801"/>
      <c r="I55" s="801"/>
      <c r="J55" s="801"/>
      <c r="K55" s="839"/>
      <c r="L55" s="839"/>
      <c r="M55" s="839"/>
      <c r="N55" s="885"/>
      <c r="O55" s="882"/>
    </row>
    <row r="56" spans="1:15" ht="14.25">
      <c r="A56" s="886" t="s">
        <v>541</v>
      </c>
      <c r="B56" s="913"/>
      <c r="C56" s="888" t="s">
        <v>542</v>
      </c>
      <c r="D56" s="846">
        <f>B56*(D85)</f>
        <v>0</v>
      </c>
      <c r="E56" s="839" t="s">
        <v>543</v>
      </c>
      <c r="F56" s="842"/>
      <c r="G56" s="840"/>
      <c r="H56" s="801"/>
      <c r="I56" s="801"/>
      <c r="J56" s="801"/>
      <c r="K56" s="882"/>
      <c r="L56" s="882"/>
      <c r="M56" s="882"/>
      <c r="N56" s="882"/>
      <c r="O56" s="882"/>
    </row>
    <row r="57" spans="1:15" ht="15">
      <c r="A57" s="886" t="s">
        <v>544</v>
      </c>
      <c r="B57" s="914"/>
      <c r="C57" s="857"/>
      <c r="D57" s="846" t="e">
        <f>25%*UNITS_HO*'HO-M &amp; O'!D34</f>
        <v>#DIV/0!</v>
      </c>
      <c r="E57" s="847" t="s">
        <v>545</v>
      </c>
      <c r="F57" s="915"/>
      <c r="G57" s="873"/>
      <c r="H57" s="801"/>
      <c r="I57" s="801"/>
      <c r="J57" s="801"/>
      <c r="K57" s="901"/>
      <c r="L57" s="882"/>
      <c r="M57" s="916"/>
      <c r="N57" s="890"/>
      <c r="O57" s="882"/>
    </row>
    <row r="58" spans="1:15" ht="15">
      <c r="A58" s="886" t="s">
        <v>546</v>
      </c>
      <c r="B58" s="917"/>
      <c r="C58" s="857" t="s">
        <v>48</v>
      </c>
      <c r="D58" s="846">
        <f>B58*UNITS_HO</f>
        <v>0</v>
      </c>
      <c r="E58" s="839"/>
      <c r="F58" s="915"/>
      <c r="G58" s="812"/>
      <c r="H58" s="801"/>
      <c r="I58" s="801"/>
      <c r="J58" s="801"/>
      <c r="K58" s="901"/>
      <c r="L58" s="882"/>
      <c r="M58" s="916"/>
      <c r="N58" s="890"/>
      <c r="O58" s="882"/>
    </row>
    <row r="59" spans="1:15" ht="14.25">
      <c r="A59" s="886" t="s">
        <v>547</v>
      </c>
      <c r="B59" s="887"/>
      <c r="C59" s="888"/>
      <c r="D59" s="870"/>
      <c r="E59" s="839"/>
      <c r="F59" s="842"/>
      <c r="G59" s="801"/>
      <c r="H59" s="801"/>
      <c r="I59" s="801"/>
      <c r="J59" s="801"/>
      <c r="K59" s="882"/>
      <c r="L59" s="882"/>
      <c r="M59" s="918"/>
      <c r="N59" s="882"/>
      <c r="O59" s="882"/>
    </row>
    <row r="60" spans="1:15" ht="14.25">
      <c r="A60" s="886" t="s">
        <v>548</v>
      </c>
      <c r="B60" s="887"/>
      <c r="C60" s="888"/>
      <c r="D60" s="870"/>
      <c r="E60" s="839"/>
      <c r="F60" s="842"/>
      <c r="G60" s="801"/>
      <c r="H60" s="801"/>
      <c r="I60" s="801"/>
      <c r="J60" s="801"/>
      <c r="K60" s="882"/>
      <c r="L60" s="882"/>
      <c r="M60" s="918"/>
      <c r="N60" s="882"/>
      <c r="O60" s="882"/>
    </row>
    <row r="61" spans="1:15" ht="14.25">
      <c r="A61" s="919" t="s">
        <v>60</v>
      </c>
      <c r="B61" s="920"/>
      <c r="C61" s="857" t="s">
        <v>48</v>
      </c>
      <c r="D61" s="846">
        <f>B61*UNITS_HO</f>
        <v>0</v>
      </c>
      <c r="E61" s="839"/>
      <c r="F61" s="842"/>
      <c r="G61" s="801"/>
      <c r="H61" s="801"/>
      <c r="I61" s="801"/>
      <c r="J61" s="801"/>
      <c r="K61" s="839"/>
      <c r="L61" s="839"/>
      <c r="M61" s="839"/>
      <c r="N61" s="839"/>
      <c r="O61" s="882"/>
    </row>
    <row r="62" spans="1:14" ht="14.25">
      <c r="A62" s="849" t="s">
        <v>549</v>
      </c>
      <c r="B62" s="920"/>
      <c r="C62" s="857" t="s">
        <v>48</v>
      </c>
      <c r="D62" s="921">
        <f>B62*UNITS_HO</f>
        <v>0</v>
      </c>
      <c r="E62" s="839"/>
      <c r="F62" s="842"/>
      <c r="G62" s="810"/>
      <c r="H62" s="801"/>
      <c r="I62" s="801"/>
      <c r="J62" s="801"/>
      <c r="K62" s="801"/>
      <c r="L62" s="801"/>
      <c r="M62" s="801"/>
      <c r="N62" s="801"/>
    </row>
    <row r="63" spans="1:14" ht="14.25">
      <c r="A63" s="849" t="s">
        <v>550</v>
      </c>
      <c r="B63" s="856"/>
      <c r="C63" s="857"/>
      <c r="D63" s="922"/>
      <c r="E63" s="839"/>
      <c r="F63" s="842"/>
      <c r="G63" s="810"/>
      <c r="H63" s="801"/>
      <c r="I63" s="801"/>
      <c r="J63" s="801"/>
      <c r="K63" s="801"/>
      <c r="L63" s="801"/>
      <c r="M63" s="801"/>
      <c r="N63" s="801"/>
    </row>
    <row r="64" spans="1:14" ht="14.25">
      <c r="A64" s="849" t="s">
        <v>82</v>
      </c>
      <c r="B64" s="923"/>
      <c r="C64" s="839"/>
      <c r="D64" s="922"/>
      <c r="E64" s="901" t="e">
        <f>D64/D68</f>
        <v>#DIV/0!</v>
      </c>
      <c r="F64" s="842" t="s">
        <v>113</v>
      </c>
      <c r="G64" s="801"/>
      <c r="H64" s="801"/>
      <c r="I64" s="801"/>
      <c r="J64" s="801"/>
      <c r="K64" s="801"/>
      <c r="L64" s="801"/>
      <c r="M64" s="801"/>
      <c r="N64" s="801"/>
    </row>
    <row r="65" spans="1:15" ht="14.25">
      <c r="A65" s="909" t="s">
        <v>537</v>
      </c>
      <c r="B65" s="907"/>
      <c r="C65" s="893"/>
      <c r="D65" s="924"/>
      <c r="F65" s="842"/>
      <c r="G65" s="801"/>
      <c r="H65" s="801"/>
      <c r="I65" s="801"/>
      <c r="J65" s="801"/>
      <c r="K65" s="882"/>
      <c r="L65" s="882"/>
      <c r="M65" s="882"/>
      <c r="N65" s="882"/>
      <c r="O65" s="882"/>
    </row>
    <row r="66" spans="1:10" ht="15">
      <c r="A66" s="925" t="s">
        <v>52</v>
      </c>
      <c r="B66" s="859"/>
      <c r="C66" s="845"/>
      <c r="D66" s="926" t="e">
        <f>SUM(D52:D65)</f>
        <v>#DIV/0!</v>
      </c>
      <c r="E66" s="839"/>
      <c r="F66" s="842"/>
      <c r="G66" s="801"/>
      <c r="H66" s="801"/>
      <c r="I66" s="801"/>
      <c r="J66" s="801"/>
    </row>
    <row r="67" spans="1:10" ht="14.25">
      <c r="A67" s="849"/>
      <c r="B67" s="840"/>
      <c r="C67" s="839"/>
      <c r="D67" s="927"/>
      <c r="E67" s="928"/>
      <c r="F67" s="929"/>
      <c r="G67" s="808"/>
      <c r="H67" s="801"/>
      <c r="I67" s="801"/>
      <c r="J67" s="801"/>
    </row>
    <row r="68" spans="1:10" ht="15">
      <c r="A68" s="925" t="s">
        <v>551</v>
      </c>
      <c r="B68" s="840"/>
      <c r="C68" s="839"/>
      <c r="D68" s="879" t="e">
        <f>D42+D49+D66</f>
        <v>#DIV/0!</v>
      </c>
      <c r="E68" s="877"/>
      <c r="F68" s="842"/>
      <c r="G68" s="801"/>
      <c r="H68" s="801"/>
      <c r="I68" s="801"/>
      <c r="J68" s="801"/>
    </row>
    <row r="69" spans="1:7" ht="14.25">
      <c r="A69" s="849"/>
      <c r="B69" s="903"/>
      <c r="C69" s="839"/>
      <c r="D69" s="853"/>
      <c r="E69" s="839"/>
      <c r="F69" s="842"/>
      <c r="G69" s="801"/>
    </row>
    <row r="70" spans="1:8" ht="14.25">
      <c r="A70" s="930" t="s">
        <v>61</v>
      </c>
      <c r="B70" s="931" t="e">
        <f>D70/UNITS_HO</f>
        <v>#DIV/0!</v>
      </c>
      <c r="C70" s="932" t="s">
        <v>105</v>
      </c>
      <c r="D70" s="933"/>
      <c r="E70" s="934" t="e">
        <f>D70/(D72-D87-D88-D89)</f>
        <v>#DIV/0!</v>
      </c>
      <c r="F70" s="935" t="s">
        <v>552</v>
      </c>
      <c r="G70" s="810"/>
      <c r="H70" s="936"/>
    </row>
    <row r="71" spans="1:7" ht="14.25">
      <c r="A71" s="891"/>
      <c r="B71" s="937"/>
      <c r="C71" s="882"/>
      <c r="D71" s="938"/>
      <c r="E71" s="890"/>
      <c r="F71" s="939"/>
      <c r="G71" s="801"/>
    </row>
    <row r="72" spans="1:7" ht="15.75" thickBot="1">
      <c r="A72" s="940" t="s">
        <v>62</v>
      </c>
      <c r="B72" s="941"/>
      <c r="C72" s="942"/>
      <c r="D72" s="943" t="e">
        <f>D8+D15+D26+D68+D70</f>
        <v>#DIV/0!</v>
      </c>
      <c r="E72" s="944"/>
      <c r="F72" s="945"/>
      <c r="G72" s="946"/>
    </row>
    <row r="73" spans="1:7" ht="14.25">
      <c r="A73" s="839"/>
      <c r="B73" s="801"/>
      <c r="C73" s="810"/>
      <c r="D73" s="810"/>
      <c r="E73" s="808"/>
      <c r="F73" s="939"/>
      <c r="G73" s="947"/>
    </row>
    <row r="74" spans="1:7" ht="14.25">
      <c r="A74" s="839"/>
      <c r="B74" s="801"/>
      <c r="C74" s="810"/>
      <c r="D74" s="810"/>
      <c r="E74" s="808"/>
      <c r="F74" s="939"/>
      <c r="G74" s="801"/>
    </row>
    <row r="75" spans="1:7" ht="15">
      <c r="A75" s="948" t="s">
        <v>81</v>
      </c>
      <c r="D75" s="949" t="s">
        <v>119</v>
      </c>
      <c r="F75" s="939"/>
      <c r="G75" s="801"/>
    </row>
    <row r="76" spans="1:7" ht="14.25">
      <c r="A76" s="950" t="s">
        <v>553</v>
      </c>
      <c r="B76" s="801"/>
      <c r="C76" s="801"/>
      <c r="D76" s="951"/>
      <c r="E76" s="813" t="e">
        <f aca="true" t="shared" si="0" ref="E76:E81">D76/$D$82</f>
        <v>#DIV/0!</v>
      </c>
      <c r="F76" s="939"/>
      <c r="G76" s="810"/>
    </row>
    <row r="77" spans="1:7" ht="14.25">
      <c r="A77" s="950" t="s">
        <v>554</v>
      </c>
      <c r="B77" s="801"/>
      <c r="C77" s="801"/>
      <c r="D77" s="952"/>
      <c r="E77" s="813" t="e">
        <f t="shared" si="0"/>
        <v>#DIV/0!</v>
      </c>
      <c r="F77" s="939"/>
      <c r="G77" s="801"/>
    </row>
    <row r="78" spans="1:7" ht="14.25">
      <c r="A78" s="950" t="s">
        <v>555</v>
      </c>
      <c r="B78" s="801"/>
      <c r="C78" s="801"/>
      <c r="D78" s="952"/>
      <c r="E78" s="813" t="e">
        <f t="shared" si="0"/>
        <v>#DIV/0!</v>
      </c>
      <c r="F78" s="939"/>
      <c r="G78" s="953"/>
    </row>
    <row r="79" spans="1:7" ht="14.25">
      <c r="A79" s="954" t="s">
        <v>556</v>
      </c>
      <c r="B79" s="801"/>
      <c r="C79" s="801"/>
      <c r="D79" s="952"/>
      <c r="E79" s="813" t="e">
        <f t="shared" si="0"/>
        <v>#DIV/0!</v>
      </c>
      <c r="F79" s="939"/>
      <c r="G79" s="953"/>
    </row>
    <row r="80" spans="1:7" ht="15" thickBot="1">
      <c r="A80" s="955" t="s">
        <v>70</v>
      </c>
      <c r="B80" s="845"/>
      <c r="C80" s="904"/>
      <c r="D80" s="956"/>
      <c r="E80" s="901" t="e">
        <f t="shared" si="0"/>
        <v>#DIV/0!</v>
      </c>
      <c r="F80" s="939"/>
      <c r="G80" s="810"/>
    </row>
    <row r="81" spans="1:7" ht="15.75" thickBot="1" thickTop="1">
      <c r="A81" s="957" t="s">
        <v>249</v>
      </c>
      <c r="B81" s="958"/>
      <c r="C81" s="959"/>
      <c r="D81" s="960"/>
      <c r="E81" s="901" t="e">
        <f t="shared" si="0"/>
        <v>#DIV/0!</v>
      </c>
      <c r="F81" s="939" t="s">
        <v>557</v>
      </c>
      <c r="G81" s="810"/>
    </row>
    <row r="82" spans="1:7" ht="15" thickTop="1">
      <c r="A82" s="847" t="s">
        <v>0</v>
      </c>
      <c r="B82" s="801"/>
      <c r="C82" s="801"/>
      <c r="D82" s="810">
        <f>SUM(D76:D81)</f>
        <v>0</v>
      </c>
      <c r="E82" s="813" t="e">
        <f>SUM(E76:E81)</f>
        <v>#DIV/0!</v>
      </c>
      <c r="F82" s="961"/>
      <c r="G82" s="801"/>
    </row>
    <row r="83" spans="1:7" ht="14.25">
      <c r="A83" s="847"/>
      <c r="B83" s="801"/>
      <c r="C83" s="801"/>
      <c r="D83" s="810"/>
      <c r="E83" s="801"/>
      <c r="F83" s="961"/>
      <c r="G83" s="801"/>
    </row>
    <row r="84" spans="1:7" ht="15">
      <c r="A84" s="948" t="s">
        <v>76</v>
      </c>
      <c r="B84" s="826"/>
      <c r="C84" s="826"/>
      <c r="D84" s="962"/>
      <c r="F84" s="963"/>
      <c r="G84" s="964"/>
    </row>
    <row r="85" spans="1:7" ht="15">
      <c r="A85" s="965" t="s">
        <v>558</v>
      </c>
      <c r="B85" s="826"/>
      <c r="C85" s="826"/>
      <c r="D85" s="966">
        <f>'HO-Unit &amp; Income'!C92</f>
        <v>0</v>
      </c>
      <c r="E85" s="967" t="e">
        <f aca="true" t="shared" si="1" ref="E85:E91">D85/$D$92</f>
        <v>#DIV/0!</v>
      </c>
      <c r="F85" s="963"/>
      <c r="G85" s="898"/>
    </row>
    <row r="86" spans="1:7" ht="15">
      <c r="A86" s="955" t="str">
        <f>A76</f>
        <v>First Mortgage (Lender:                                )</v>
      </c>
      <c r="D86" s="968">
        <f>'HO-Mort'!I30</f>
        <v>0</v>
      </c>
      <c r="E86" s="967" t="e">
        <f t="shared" si="1"/>
        <v>#DIV/0!</v>
      </c>
      <c r="F86" s="969"/>
      <c r="G86" s="898"/>
    </row>
    <row r="87" spans="1:7" ht="15">
      <c r="A87" s="955" t="str">
        <f>A77</f>
        <v>Second Mortgage (Lender:                                )</v>
      </c>
      <c r="D87" s="970">
        <f>'HO-Mort'!J30</f>
        <v>0</v>
      </c>
      <c r="E87" s="967" t="e">
        <f t="shared" si="1"/>
        <v>#DIV/0!</v>
      </c>
      <c r="F87" s="971"/>
      <c r="G87" s="898"/>
    </row>
    <row r="88" spans="1:7" ht="14.25">
      <c r="A88" s="955" t="str">
        <f>A78</f>
        <v>Third Mortgage (Lender:                                )</v>
      </c>
      <c r="D88" s="972">
        <f>'HO-Mort'!K30</f>
        <v>0</v>
      </c>
      <c r="E88" s="967" t="e">
        <f t="shared" si="1"/>
        <v>#DIV/0!</v>
      </c>
      <c r="F88" s="971"/>
      <c r="G88" s="973"/>
    </row>
    <row r="89" spans="1:7" ht="14.25">
      <c r="A89" s="955" t="str">
        <f>A79</f>
        <v>Other (Specify: _______________)</v>
      </c>
      <c r="D89" s="974"/>
      <c r="E89" s="967" t="e">
        <f t="shared" si="1"/>
        <v>#DIV/0!</v>
      </c>
      <c r="F89" s="971"/>
      <c r="G89" s="973"/>
    </row>
    <row r="90" spans="1:7" ht="14.25">
      <c r="A90" s="975" t="s">
        <v>249</v>
      </c>
      <c r="B90" s="976"/>
      <c r="C90" s="976"/>
      <c r="D90" s="977"/>
      <c r="E90" s="967" t="e">
        <f t="shared" si="1"/>
        <v>#DIV/0!</v>
      </c>
      <c r="F90" s="842"/>
      <c r="G90" s="801"/>
    </row>
    <row r="91" spans="1:7" ht="14.25">
      <c r="A91" s="978" t="s">
        <v>559</v>
      </c>
      <c r="B91" s="979"/>
      <c r="C91" s="979"/>
      <c r="D91" s="980" t="e">
        <f>D72-D85-D86-D87-D88-D89-D90</f>
        <v>#DIV/0!</v>
      </c>
      <c r="E91" s="967" t="e">
        <f t="shared" si="1"/>
        <v>#DIV/0!</v>
      </c>
      <c r="F91" s="842"/>
      <c r="G91" s="801"/>
    </row>
    <row r="92" spans="1:7" ht="15">
      <c r="A92" s="882" t="s">
        <v>560</v>
      </c>
      <c r="B92" s="981"/>
      <c r="D92" s="981">
        <f>SUM(D85:D90)</f>
        <v>0</v>
      </c>
      <c r="E92" s="967" t="e">
        <f>SUM(E85:E91)</f>
        <v>#DIV/0!</v>
      </c>
      <c r="F92" s="963"/>
      <c r="G92" s="964"/>
    </row>
    <row r="93" ht="14.25">
      <c r="A93" s="882"/>
    </row>
    <row r="94" ht="15">
      <c r="A94" s="982"/>
    </row>
    <row r="95" ht="14.25">
      <c r="A95" s="882"/>
    </row>
    <row r="96" ht="14.25">
      <c r="A96" s="882"/>
    </row>
  </sheetData>
  <sheetProtection/>
  <printOptions/>
  <pageMargins left="0.5" right="0.5" top="0.5" bottom="0.5" header="0.5" footer="0.5"/>
  <pageSetup horizontalDpi="600" verticalDpi="600" orientation="portrait" scale="51" r:id="rId1"/>
  <colBreaks count="1" manualBreakCount="1">
    <brk id="8" max="7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</sheetPr>
  <dimension ref="A1:F25"/>
  <sheetViews>
    <sheetView zoomScale="85" zoomScaleNormal="85" zoomScaleSheetLayoutView="85" zoomScalePageLayoutView="0" workbookViewId="0" topLeftCell="A1">
      <selection activeCell="A4" sqref="A4"/>
    </sheetView>
  </sheetViews>
  <sheetFormatPr defaultColWidth="8.88671875" defaultRowHeight="15"/>
  <cols>
    <col min="1" max="1" width="38.6640625" style="0" bestFit="1" customWidth="1"/>
    <col min="2" max="2" width="16.99609375" style="0" bestFit="1" customWidth="1"/>
    <col min="3" max="3" width="12.6640625" style="0" bestFit="1" customWidth="1"/>
    <col min="4" max="4" width="24.10546875" style="0" customWidth="1"/>
    <col min="5" max="5" width="12.77734375" style="0" customWidth="1"/>
    <col min="6" max="6" width="13.4453125" style="0" customWidth="1"/>
  </cols>
  <sheetData>
    <row r="1" ht="15.75">
      <c r="A1" s="804" t="str">
        <f>'HO-Sources and Uses'!A1</f>
        <v>Willets Point Phase 1 Development</v>
      </c>
    </row>
    <row r="2" ht="15.75">
      <c r="A2" s="804">
        <f>'HO-Sources and Uses'!A2</f>
        <v>0</v>
      </c>
    </row>
    <row r="4" spans="1:6" ht="15.75">
      <c r="A4" s="983" t="s">
        <v>561</v>
      </c>
      <c r="B4" s="172"/>
      <c r="C4" s="32"/>
      <c r="D4" s="32"/>
      <c r="E4" s="172"/>
      <c r="F4" s="984"/>
    </row>
    <row r="5" spans="1:6" ht="15.75">
      <c r="A5" s="983"/>
      <c r="B5" s="172"/>
      <c r="C5" s="32"/>
      <c r="D5" s="32"/>
      <c r="E5" s="172"/>
      <c r="F5" s="984"/>
    </row>
    <row r="6" spans="1:6" ht="15.75">
      <c r="A6" s="983" t="s">
        <v>562</v>
      </c>
      <c r="B6" s="353">
        <f>'HO-Devel. Bud'!D76</f>
        <v>0</v>
      </c>
      <c r="C6" s="985"/>
      <c r="D6" s="32"/>
      <c r="E6" s="172"/>
      <c r="F6" s="984"/>
    </row>
    <row r="7" spans="1:6" ht="15.75">
      <c r="A7" s="983" t="s">
        <v>563</v>
      </c>
      <c r="B7" s="353">
        <f>'HO-Devel. Bud'!D86</f>
        <v>0</v>
      </c>
      <c r="C7" s="32"/>
      <c r="D7" s="32"/>
      <c r="E7" s="172"/>
      <c r="F7" s="984"/>
    </row>
    <row r="8" spans="1:6" ht="15.75">
      <c r="A8" s="983" t="s">
        <v>564</v>
      </c>
      <c r="B8" s="353">
        <f>B6</f>
        <v>0</v>
      </c>
      <c r="C8" s="32"/>
      <c r="D8" s="32"/>
      <c r="E8" s="172"/>
      <c r="F8" s="984"/>
    </row>
    <row r="9" spans="1:6" ht="15" customHeight="1">
      <c r="A9" s="983"/>
      <c r="B9" s="353"/>
      <c r="C9" s="172"/>
      <c r="D9" s="172"/>
      <c r="E9" s="172"/>
      <c r="F9" s="984"/>
    </row>
    <row r="10" spans="1:6" ht="15" customHeight="1">
      <c r="A10" s="986"/>
      <c r="B10" s="172"/>
      <c r="C10" s="172"/>
      <c r="D10" s="172"/>
      <c r="E10" s="172"/>
      <c r="F10" s="984"/>
    </row>
    <row r="11" spans="1:6" ht="15" customHeight="1" thickBot="1">
      <c r="A11" s="172"/>
      <c r="B11" s="172"/>
      <c r="C11" s="172"/>
      <c r="D11" s="172"/>
      <c r="E11" s="172"/>
      <c r="F11" s="984"/>
    </row>
    <row r="12" spans="1:4" ht="15" customHeight="1">
      <c r="A12" s="172"/>
      <c r="B12" s="1389" t="s">
        <v>565</v>
      </c>
      <c r="C12" s="1390"/>
      <c r="D12" s="987" t="s">
        <v>566</v>
      </c>
    </row>
    <row r="13" spans="1:5" ht="15" customHeight="1">
      <c r="A13" s="172"/>
      <c r="B13" s="988" t="s">
        <v>567</v>
      </c>
      <c r="C13" s="989" t="s">
        <v>568</v>
      </c>
      <c r="D13" s="990" t="s">
        <v>569</v>
      </c>
      <c r="E13" s="172"/>
    </row>
    <row r="14" spans="1:6" ht="15" customHeight="1">
      <c r="A14" s="172" t="s">
        <v>570</v>
      </c>
      <c r="B14" s="991">
        <f>B6</f>
        <v>0</v>
      </c>
      <c r="C14" s="992">
        <f>B14</f>
        <v>0</v>
      </c>
      <c r="D14" s="993">
        <f>'HO-Mort'!J30</f>
        <v>0</v>
      </c>
      <c r="E14" s="353"/>
      <c r="F14" s="33"/>
    </row>
    <row r="15" spans="1:6" ht="15" customHeight="1">
      <c r="A15" s="172" t="s">
        <v>67</v>
      </c>
      <c r="B15" s="994">
        <v>0.5</v>
      </c>
      <c r="C15" s="995">
        <v>1</v>
      </c>
      <c r="D15" s="996">
        <v>1</v>
      </c>
      <c r="E15" s="997"/>
      <c r="F15" s="998"/>
    </row>
    <row r="16" spans="1:6" ht="15" customHeight="1">
      <c r="A16" s="172" t="s">
        <v>571</v>
      </c>
      <c r="B16" s="999">
        <v>0.055</v>
      </c>
      <c r="C16" s="1000">
        <f>B16</f>
        <v>0.055</v>
      </c>
      <c r="D16" s="1001">
        <v>0.01</v>
      </c>
      <c r="E16" s="1002"/>
      <c r="F16" s="998"/>
    </row>
    <row r="17" spans="1:5" ht="15" customHeight="1">
      <c r="A17" s="172" t="s">
        <v>572</v>
      </c>
      <c r="B17" s="1003">
        <v>1.5</v>
      </c>
      <c r="C17" s="1004">
        <v>0.5</v>
      </c>
      <c r="D17" s="1005">
        <v>2</v>
      </c>
      <c r="E17" s="172"/>
    </row>
    <row r="18" spans="1:5" ht="15" customHeight="1">
      <c r="A18" s="172"/>
      <c r="B18" s="1006"/>
      <c r="C18" s="1007"/>
      <c r="D18" s="1008"/>
      <c r="E18" s="172"/>
    </row>
    <row r="19" spans="1:6" ht="15" customHeight="1" thickBot="1">
      <c r="A19" s="172" t="s">
        <v>573</v>
      </c>
      <c r="B19" s="1009">
        <f>B14*B15*B16*B17</f>
        <v>0</v>
      </c>
      <c r="C19" s="1010">
        <f>C14*C15*C16*C17</f>
        <v>0</v>
      </c>
      <c r="D19" s="1011">
        <f>D14*D15*D16*D17</f>
        <v>0</v>
      </c>
      <c r="E19" s="1012"/>
      <c r="F19" s="33"/>
    </row>
    <row r="20" spans="1:6" ht="15" customHeight="1">
      <c r="A20" s="172"/>
      <c r="B20" s="1013"/>
      <c r="C20" s="477"/>
      <c r="D20" s="477"/>
      <c r="E20" s="172"/>
      <c r="F20" s="1012"/>
    </row>
    <row r="21" spans="1:6" ht="15" customHeight="1">
      <c r="A21" s="983" t="s">
        <v>574</v>
      </c>
      <c r="B21" s="1014">
        <f>SUM(B19:D19)</f>
        <v>0</v>
      </c>
      <c r="C21" s="477"/>
      <c r="D21" s="477"/>
      <c r="E21" s="1015"/>
      <c r="F21" s="1015"/>
    </row>
    <row r="22" spans="1:6" ht="15" customHeight="1">
      <c r="A22" s="172"/>
      <c r="B22" s="153"/>
      <c r="C22" s="1016"/>
      <c r="D22" s="153"/>
      <c r="E22" s="172"/>
      <c r="F22" s="984"/>
    </row>
    <row r="23" spans="1:6" ht="15" customHeight="1">
      <c r="A23" s="172"/>
      <c r="B23" s="153"/>
      <c r="C23" s="1016"/>
      <c r="D23" s="153"/>
      <c r="E23" s="172"/>
      <c r="F23" s="984"/>
    </row>
    <row r="24" spans="1:6" ht="15" customHeight="1">
      <c r="A24" s="172"/>
      <c r="B24" s="153"/>
      <c r="C24" s="153"/>
      <c r="D24" s="153"/>
      <c r="E24" s="172"/>
      <c r="F24" s="984"/>
    </row>
    <row r="25" spans="1:2" ht="15" customHeight="1">
      <c r="A25" s="31"/>
      <c r="B25" s="34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tabColor indexed="26"/>
    <pageSetUpPr fitToPage="1"/>
  </sheetPr>
  <dimension ref="A1:R94"/>
  <sheetViews>
    <sheetView defaultGridColor="0" zoomScale="75" zoomScaleNormal="75" zoomScalePageLayoutView="0" colorId="22" workbookViewId="0" topLeftCell="A1">
      <selection activeCell="A4" sqref="A4"/>
    </sheetView>
  </sheetViews>
  <sheetFormatPr defaultColWidth="9.77734375" defaultRowHeight="15"/>
  <cols>
    <col min="1" max="1" width="13.77734375" style="1017" customWidth="1"/>
    <col min="2" max="2" width="9.6640625" style="1017" customWidth="1"/>
    <col min="3" max="3" width="13.4453125" style="1017" customWidth="1"/>
    <col min="4" max="4" width="12.21484375" style="1017" bestFit="1" customWidth="1"/>
    <col min="5" max="5" width="15.99609375" style="1017" customWidth="1"/>
    <col min="6" max="6" width="11.21484375" style="1017" bestFit="1" customWidth="1"/>
    <col min="7" max="7" width="13.5546875" style="1017" bestFit="1" customWidth="1"/>
    <col min="8" max="8" width="10.77734375" style="1017" bestFit="1" customWidth="1"/>
    <col min="9" max="9" width="12.5546875" style="1017" customWidth="1"/>
    <col min="10" max="10" width="12.4453125" style="1017" bestFit="1" customWidth="1"/>
    <col min="11" max="11" width="11.5546875" style="1017" customWidth="1"/>
    <col min="12" max="12" width="12.77734375" style="1017" customWidth="1"/>
    <col min="13" max="13" width="14.77734375" style="1017" bestFit="1" customWidth="1"/>
    <col min="14" max="16384" width="9.77734375" style="1017" customWidth="1"/>
  </cols>
  <sheetData>
    <row r="1" spans="1:8" ht="15">
      <c r="A1" s="804" t="str">
        <f>'HO-Sources and Uses'!A1</f>
        <v>Willets Point Phase 1 Development</v>
      </c>
      <c r="B1" s="826"/>
      <c r="C1" s="826"/>
      <c r="D1" s="826"/>
      <c r="E1" s="826"/>
      <c r="F1" s="826"/>
      <c r="G1" s="826"/>
      <c r="H1" s="826"/>
    </row>
    <row r="2" spans="1:8" ht="15">
      <c r="A2" s="804">
        <f>'HO-Sources and Uses'!A2</f>
        <v>0</v>
      </c>
      <c r="C2" s="826"/>
      <c r="D2" s="826"/>
      <c r="E2" s="826"/>
      <c r="F2" s="826"/>
      <c r="G2" s="826"/>
      <c r="H2" s="826"/>
    </row>
    <row r="3" ht="7.5" customHeight="1"/>
    <row r="4" ht="15">
      <c r="A4" s="964" t="s">
        <v>659</v>
      </c>
    </row>
    <row r="6" spans="1:8" ht="14.25">
      <c r="A6" s="826"/>
      <c r="B6" s="1018" t="s">
        <v>575</v>
      </c>
      <c r="C6" s="1018"/>
      <c r="D6" s="826"/>
      <c r="E6" s="1019"/>
      <c r="F6" s="1018" t="s">
        <v>576</v>
      </c>
      <c r="G6" s="826"/>
      <c r="H6" s="826"/>
    </row>
    <row r="8" spans="1:8" ht="14.25">
      <c r="A8" s="826"/>
      <c r="B8" s="1020" t="s">
        <v>577</v>
      </c>
      <c r="C8" s="1021" t="s">
        <v>578</v>
      </c>
      <c r="D8" s="1022" t="s">
        <v>579</v>
      </c>
      <c r="F8" s="1020" t="s">
        <v>580</v>
      </c>
      <c r="G8" s="1023" t="s">
        <v>581</v>
      </c>
      <c r="H8" s="1024"/>
    </row>
    <row r="9" spans="1:8" ht="14.25">
      <c r="A9" s="826"/>
      <c r="B9" s="873"/>
      <c r="C9" s="847"/>
      <c r="D9" s="1025"/>
      <c r="F9" s="873"/>
      <c r="G9" s="848"/>
      <c r="H9" s="1024"/>
    </row>
    <row r="10" spans="1:8" ht="14.25">
      <c r="A10" s="826" t="s">
        <v>63</v>
      </c>
      <c r="B10" s="1026">
        <f>SUM('HO-Unit &amp; Income'!J54,'HO-Unit &amp; Income'!J62,'HO-Unit &amp; Income'!J70,'HO-Unit &amp; Income'!J78,F85)</f>
        <v>0</v>
      </c>
      <c r="C10" s="1027">
        <f>B10*2</f>
        <v>0</v>
      </c>
      <c r="D10" s="1028"/>
      <c r="E10" s="950" t="s">
        <v>63</v>
      </c>
      <c r="F10" s="1026">
        <f>F85</f>
        <v>0</v>
      </c>
      <c r="G10" s="1029">
        <f>J54+J62+J70+J78</f>
        <v>0</v>
      </c>
      <c r="H10" s="1024"/>
    </row>
    <row r="11" spans="1:8" ht="14.25">
      <c r="A11" s="826" t="s">
        <v>582</v>
      </c>
      <c r="B11" s="1026">
        <f>SUM('HO-Unit &amp; Income'!J55,'HO-Unit &amp; Income'!J63,'HO-Unit &amp; Income'!J71,'HO-Unit &amp; Income'!J79,F86)</f>
        <v>0</v>
      </c>
      <c r="C11" s="1030">
        <f>B11*3</f>
        <v>0</v>
      </c>
      <c r="D11" s="1028"/>
      <c r="E11" s="950" t="s">
        <v>582</v>
      </c>
      <c r="F11" s="1026">
        <f>F86</f>
        <v>0</v>
      </c>
      <c r="G11" s="1029">
        <f>J55+J63+J71+J79</f>
        <v>0</v>
      </c>
      <c r="H11" s="847"/>
    </row>
    <row r="12" spans="1:8" ht="14.25">
      <c r="A12" s="826" t="s">
        <v>583</v>
      </c>
      <c r="B12" s="1026">
        <f>SUM('HO-Unit &amp; Income'!J56,'HO-Unit &amp; Income'!J64,'HO-Unit &amp; Income'!J72,'HO-Unit &amp; Income'!J80,F87)</f>
        <v>0</v>
      </c>
      <c r="C12" s="1030">
        <f>B12*4</f>
        <v>0</v>
      </c>
      <c r="D12" s="1031"/>
      <c r="E12" s="950" t="s">
        <v>583</v>
      </c>
      <c r="F12" s="1026">
        <f>F87</f>
        <v>0</v>
      </c>
      <c r="G12" s="1029">
        <f>J56+J64+J72+J80</f>
        <v>0</v>
      </c>
      <c r="H12" s="847"/>
    </row>
    <row r="13" spans="1:8" ht="14.25">
      <c r="A13" s="826" t="s">
        <v>584</v>
      </c>
      <c r="B13" s="1026">
        <f>SUM('HO-Unit &amp; Income'!J57,'HO-Unit &amp; Income'!J65,'HO-Unit &amp; Income'!J73,'HO-Unit &amp; Income'!J81,F88)</f>
        <v>0</v>
      </c>
      <c r="C13" s="1030">
        <f>B13*5</f>
        <v>0</v>
      </c>
      <c r="D13" s="1028"/>
      <c r="E13" s="950" t="s">
        <v>584</v>
      </c>
      <c r="F13" s="1026">
        <f>F88</f>
        <v>0</v>
      </c>
      <c r="G13" s="1029">
        <f>J57+J65+J73+J81</f>
        <v>0</v>
      </c>
      <c r="H13" s="847"/>
    </row>
    <row r="14" spans="1:8" ht="14.25">
      <c r="A14" s="826" t="s">
        <v>585</v>
      </c>
      <c r="B14" s="1032"/>
      <c r="C14" s="1033">
        <v>0</v>
      </c>
      <c r="D14" s="1028"/>
      <c r="E14" s="1034" t="s">
        <v>0</v>
      </c>
      <c r="F14" s="1035">
        <f>SUM(F10:F13)</f>
        <v>0</v>
      </c>
      <c r="G14" s="1036">
        <f>SUM(G10:G13)</f>
        <v>0</v>
      </c>
      <c r="H14" s="847"/>
    </row>
    <row r="15" spans="1:8" ht="14.25">
      <c r="A15" s="826" t="s">
        <v>0</v>
      </c>
      <c r="B15" s="1035">
        <f>SUM(B10:B14)</f>
        <v>0</v>
      </c>
      <c r="C15" s="1030">
        <f>SUM(C10:C14)</f>
        <v>0</v>
      </c>
      <c r="D15" s="1037"/>
      <c r="E15" s="1034" t="s">
        <v>586</v>
      </c>
      <c r="F15" s="1035" t="e">
        <f>F14/(F14+G14)</f>
        <v>#DIV/0!</v>
      </c>
      <c r="G15" s="1036" t="e">
        <f>G14/(F14+G14)</f>
        <v>#DIV/0!</v>
      </c>
      <c r="H15" s="847"/>
    </row>
    <row r="16" spans="1:8" ht="14.25">
      <c r="A16" s="826"/>
      <c r="B16" s="1038"/>
      <c r="C16" s="1039" t="s">
        <v>587</v>
      </c>
      <c r="D16" s="1040">
        <f>SUMPRODUCT(B10:B14,D10:D14)</f>
        <v>0</v>
      </c>
      <c r="F16" s="1038"/>
      <c r="G16" s="1041"/>
      <c r="H16" s="847"/>
    </row>
    <row r="17" spans="5:8" ht="14.25">
      <c r="E17" s="826"/>
      <c r="F17" s="826"/>
      <c r="G17" s="847"/>
      <c r="H17" s="847"/>
    </row>
    <row r="18" spans="1:9" ht="15">
      <c r="A18" s="1042" t="s">
        <v>588</v>
      </c>
      <c r="B18" s="1043" t="s">
        <v>589</v>
      </c>
      <c r="C18" s="581"/>
      <c r="D18" s="580" t="s">
        <v>351</v>
      </c>
      <c r="E18" s="580" t="s">
        <v>352</v>
      </c>
      <c r="F18" s="581"/>
      <c r="G18" s="1044"/>
      <c r="H18" s="581"/>
      <c r="I18" s="581"/>
    </row>
    <row r="19" spans="1:9" ht="15">
      <c r="A19" s="1045" t="e">
        <f>B19/$B$23</f>
        <v>#DIV/0!</v>
      </c>
      <c r="B19" s="1046"/>
      <c r="C19" s="1047" t="s">
        <v>347</v>
      </c>
      <c r="D19" s="1048"/>
      <c r="E19" s="582">
        <f>D19*B19</f>
        <v>0</v>
      </c>
      <c r="F19" s="583"/>
      <c r="G19" s="1044"/>
      <c r="H19" s="581"/>
      <c r="I19" s="581"/>
    </row>
    <row r="20" spans="1:9" ht="15">
      <c r="A20" s="1045" t="e">
        <f>B20/$B$23</f>
        <v>#DIV/0!</v>
      </c>
      <c r="B20" s="1046"/>
      <c r="C20" s="1047" t="s">
        <v>348</v>
      </c>
      <c r="D20" s="1048"/>
      <c r="E20" s="582">
        <f>D20*B20</f>
        <v>0</v>
      </c>
      <c r="F20" s="583"/>
      <c r="G20" s="1044"/>
      <c r="H20" s="581"/>
      <c r="I20" s="581"/>
    </row>
    <row r="21" spans="1:9" ht="15">
      <c r="A21" s="1045" t="e">
        <f>B21/$B$23</f>
        <v>#DIV/0!</v>
      </c>
      <c r="B21" s="1046"/>
      <c r="C21" s="1047" t="s">
        <v>349</v>
      </c>
      <c r="D21" s="1048"/>
      <c r="E21" s="582">
        <f>D21*B21</f>
        <v>0</v>
      </c>
      <c r="F21" s="583"/>
      <c r="G21" s="1044"/>
      <c r="H21" s="581"/>
      <c r="I21" s="581"/>
    </row>
    <row r="22" spans="1:9" ht="15">
      <c r="A22" s="1045" t="e">
        <f>B22/$B$23</f>
        <v>#DIV/0!</v>
      </c>
      <c r="B22" s="1046"/>
      <c r="C22" s="1047" t="s">
        <v>350</v>
      </c>
      <c r="D22" s="1048"/>
      <c r="E22" s="582">
        <f>D22*B22</f>
        <v>0</v>
      </c>
      <c r="F22" s="583"/>
      <c r="G22" s="1044"/>
      <c r="H22" s="581"/>
      <c r="I22" s="581"/>
    </row>
    <row r="23" spans="1:9" ht="15">
      <c r="A23" s="1049"/>
      <c r="B23" s="584">
        <f>SUM(B19:B22)</f>
        <v>0</v>
      </c>
      <c r="C23" s="585" t="s">
        <v>355</v>
      </c>
      <c r="D23" s="584"/>
      <c r="E23" s="584">
        <f>SUM(E19:E22)</f>
        <v>0</v>
      </c>
      <c r="F23" s="585" t="s">
        <v>353</v>
      </c>
      <c r="G23" s="1044"/>
      <c r="H23" s="581"/>
      <c r="I23" s="581"/>
    </row>
    <row r="25" spans="1:8" ht="15">
      <c r="A25" s="1050" t="s">
        <v>590</v>
      </c>
      <c r="B25" s="1019"/>
      <c r="C25" s="1019"/>
      <c r="D25" s="1019"/>
      <c r="E25" s="826"/>
      <c r="F25" s="826"/>
      <c r="G25" s="826"/>
      <c r="H25" s="826"/>
    </row>
    <row r="26" spans="1:8" ht="15">
      <c r="A26" s="828" t="s">
        <v>591</v>
      </c>
      <c r="B26" s="826"/>
      <c r="C26" s="826"/>
      <c r="D26" s="826"/>
      <c r="E26" s="826"/>
      <c r="F26" s="826"/>
      <c r="G26" s="826"/>
      <c r="H26" s="826"/>
    </row>
    <row r="27" spans="1:8" ht="14.25">
      <c r="A27" s="826"/>
      <c r="B27" s="950" t="s">
        <v>1</v>
      </c>
      <c r="C27" s="950" t="s">
        <v>2</v>
      </c>
      <c r="D27" s="950" t="s">
        <v>3</v>
      </c>
      <c r="E27" s="826"/>
      <c r="F27" s="826"/>
      <c r="G27" s="826"/>
      <c r="H27" s="826"/>
    </row>
    <row r="28" spans="1:8" ht="14.25">
      <c r="A28" s="826" t="s">
        <v>114</v>
      </c>
      <c r="B28" s="1051"/>
      <c r="C28" s="1052"/>
      <c r="D28" s="1053">
        <f>B28*C28*12</f>
        <v>0</v>
      </c>
      <c r="E28" s="826"/>
      <c r="F28" s="826"/>
      <c r="G28" s="826"/>
      <c r="H28" s="826"/>
    </row>
    <row r="29" spans="1:8" ht="14.25">
      <c r="A29" s="826"/>
      <c r="B29" s="1054"/>
      <c r="C29" s="1055"/>
      <c r="D29" s="1053"/>
      <c r="E29" s="826"/>
      <c r="F29" s="826"/>
      <c r="G29" s="826"/>
      <c r="H29" s="826"/>
    </row>
    <row r="30" spans="1:8" ht="14.25">
      <c r="A30" s="826"/>
      <c r="B30" s="1054"/>
      <c r="C30" s="1055"/>
      <c r="D30" s="1053"/>
      <c r="E30" s="826"/>
      <c r="F30" s="826"/>
      <c r="G30" s="826"/>
      <c r="H30" s="826"/>
    </row>
    <row r="31" spans="1:8" ht="14.25">
      <c r="A31" s="826"/>
      <c r="B31" s="1056" t="s">
        <v>4</v>
      </c>
      <c r="C31" s="1057" t="s">
        <v>5</v>
      </c>
      <c r="D31" s="950" t="s">
        <v>3</v>
      </c>
      <c r="E31" s="826"/>
      <c r="F31" s="826"/>
      <c r="G31" s="826"/>
      <c r="H31" s="826"/>
    </row>
    <row r="32" spans="1:8" ht="14.25">
      <c r="A32" s="826" t="s">
        <v>592</v>
      </c>
      <c r="B32" s="1058">
        <f>E20</f>
        <v>0</v>
      </c>
      <c r="C32" s="1052"/>
      <c r="D32" s="1053">
        <f>C32*B32</f>
        <v>0</v>
      </c>
      <c r="E32" s="826"/>
      <c r="F32" s="826"/>
      <c r="G32" s="826"/>
      <c r="H32" s="826"/>
    </row>
    <row r="33" spans="1:8" ht="14.25">
      <c r="A33" s="826"/>
      <c r="B33" s="1054"/>
      <c r="C33" s="1055"/>
      <c r="D33" s="1053"/>
      <c r="E33" s="826"/>
      <c r="F33" s="826"/>
      <c r="G33" s="826"/>
      <c r="H33" s="826"/>
    </row>
    <row r="34" spans="1:8" ht="14.25">
      <c r="A34" s="826"/>
      <c r="B34" s="1054"/>
      <c r="C34" s="1055"/>
      <c r="D34" s="1053"/>
      <c r="E34" s="826"/>
      <c r="F34" s="826"/>
      <c r="G34" s="826"/>
      <c r="H34" s="826"/>
    </row>
    <row r="35" spans="1:8" ht="14.25">
      <c r="A35" s="826"/>
      <c r="B35" s="1056" t="s">
        <v>4</v>
      </c>
      <c r="C35" s="1057" t="s">
        <v>5</v>
      </c>
      <c r="D35" s="950" t="s">
        <v>3</v>
      </c>
      <c r="E35" s="826"/>
      <c r="F35" s="826"/>
      <c r="G35" s="826"/>
      <c r="H35" s="826"/>
    </row>
    <row r="36" spans="1:4" ht="14.25">
      <c r="A36" s="826" t="s">
        <v>106</v>
      </c>
      <c r="B36" s="1058">
        <f>E21</f>
        <v>0</v>
      </c>
      <c r="C36" s="1052"/>
      <c r="D36" s="1053">
        <f>C36*B36</f>
        <v>0</v>
      </c>
    </row>
    <row r="37" spans="1:4" ht="15">
      <c r="A37" s="826"/>
      <c r="B37"/>
      <c r="C37"/>
      <c r="D37"/>
    </row>
    <row r="38" spans="1:7" ht="14.25">
      <c r="A38" s="826"/>
      <c r="B38" s="950" t="s">
        <v>6</v>
      </c>
      <c r="C38" s="950" t="s">
        <v>593</v>
      </c>
      <c r="D38" s="826"/>
      <c r="E38" s="826"/>
      <c r="F38" s="826"/>
      <c r="G38" s="826"/>
    </row>
    <row r="39" spans="1:7" ht="14.25">
      <c r="A39" s="826" t="s">
        <v>7</v>
      </c>
      <c r="B39" s="826">
        <f>UNITS_HO</f>
        <v>0</v>
      </c>
      <c r="C39" s="1052"/>
      <c r="D39" s="1053">
        <f>B39*C39</f>
        <v>0</v>
      </c>
      <c r="E39" s="826"/>
      <c r="F39" s="826"/>
      <c r="G39" s="826"/>
    </row>
    <row r="40" ht="14.25">
      <c r="D40" s="968" t="s">
        <v>195</v>
      </c>
    </row>
    <row r="41" spans="1:7" ht="15">
      <c r="A41" s="804" t="s">
        <v>594</v>
      </c>
      <c r="B41" s="826"/>
      <c r="C41" s="826"/>
      <c r="D41" s="818">
        <f>SUM(D28,D32,D36,D39)</f>
        <v>0</v>
      </c>
      <c r="E41" s="826"/>
      <c r="F41" s="826"/>
      <c r="G41" s="826"/>
    </row>
    <row r="44" spans="1:7" ht="15">
      <c r="A44" s="828" t="s">
        <v>595</v>
      </c>
      <c r="B44" s="826"/>
      <c r="C44" s="826"/>
      <c r="D44" s="826"/>
      <c r="E44" s="1059" t="s">
        <v>306</v>
      </c>
      <c r="F44" s="1060" t="s">
        <v>307</v>
      </c>
      <c r="G44" s="826"/>
    </row>
    <row r="45" spans="1:6" ht="14.25">
      <c r="A45" s="1061"/>
      <c r="B45" s="1062"/>
      <c r="C45" s="1063"/>
      <c r="E45" s="1059">
        <v>1</v>
      </c>
      <c r="F45" s="1064">
        <v>0.65</v>
      </c>
    </row>
    <row r="46" spans="1:6" ht="15">
      <c r="A46" s="1065" t="s">
        <v>596</v>
      </c>
      <c r="B46" s="1066">
        <f>MROUND(((0.85*B47)/0.35)*12*2,100)</f>
        <v>76800</v>
      </c>
      <c r="C46" s="1067" t="s">
        <v>294</v>
      </c>
      <c r="E46" s="1059">
        <v>1.5</v>
      </c>
      <c r="F46" s="1064">
        <v>0.75</v>
      </c>
    </row>
    <row r="47" spans="1:6" ht="14.25">
      <c r="A47" s="1068"/>
      <c r="B47" s="1066">
        <v>1318</v>
      </c>
      <c r="C47" s="1067" t="s">
        <v>295</v>
      </c>
      <c r="D47" s="1068"/>
      <c r="E47" s="1059">
        <v>3</v>
      </c>
      <c r="F47" s="1064">
        <v>0.9</v>
      </c>
    </row>
    <row r="48" spans="1:6" ht="14.25">
      <c r="A48" s="1017" t="s">
        <v>147</v>
      </c>
      <c r="B48" s="1017" t="s">
        <v>597</v>
      </c>
      <c r="C48" s="1069"/>
      <c r="D48" s="1069"/>
      <c r="E48" s="1059">
        <v>4.5</v>
      </c>
      <c r="F48" s="1064">
        <v>1.04</v>
      </c>
    </row>
    <row r="49" spans="1:7" ht="14.25">
      <c r="A49" s="1070">
        <v>0</v>
      </c>
      <c r="B49" s="1071">
        <v>0</v>
      </c>
      <c r="C49" s="1072"/>
      <c r="D49" s="1072"/>
      <c r="E49" s="1073"/>
      <c r="F49" s="1074"/>
      <c r="G49" s="581"/>
    </row>
    <row r="50" spans="1:6" ht="14.25">
      <c r="A50" s="1075"/>
      <c r="B50" s="1059"/>
      <c r="C50" s="1072"/>
      <c r="D50" s="1072"/>
      <c r="E50" s="1073"/>
      <c r="F50" s="1074"/>
    </row>
    <row r="51" spans="1:6" ht="14.25">
      <c r="A51" s="1076"/>
      <c r="B51" s="1076"/>
      <c r="C51" s="1076"/>
      <c r="D51" s="1077"/>
      <c r="E51" s="1076"/>
      <c r="F51" s="1077"/>
    </row>
    <row r="52" spans="1:6" ht="15">
      <c r="A52" s="1078">
        <v>0</v>
      </c>
      <c r="B52" s="540" t="s">
        <v>315</v>
      </c>
      <c r="C52" s="1079">
        <f>B46*A52</f>
        <v>0</v>
      </c>
      <c r="D52" s="1080"/>
      <c r="F52" s="1080"/>
    </row>
    <row r="53" spans="1:11" ht="42.75">
      <c r="A53" s="1080"/>
      <c r="B53" s="1080" t="s">
        <v>328</v>
      </c>
      <c r="C53" s="1081" t="s">
        <v>598</v>
      </c>
      <c r="D53" s="1082" t="s">
        <v>599</v>
      </c>
      <c r="E53" s="1080" t="s">
        <v>600</v>
      </c>
      <c r="F53" s="1080" t="s">
        <v>601</v>
      </c>
      <c r="G53" s="1080" t="s">
        <v>602</v>
      </c>
      <c r="H53" s="1080" t="s">
        <v>603</v>
      </c>
      <c r="I53" s="1072" t="s">
        <v>604</v>
      </c>
      <c r="J53" s="1072" t="s">
        <v>313</v>
      </c>
      <c r="K53" s="1072" t="s">
        <v>605</v>
      </c>
    </row>
    <row r="54" spans="1:11" ht="14.25">
      <c r="A54" s="1059" t="s">
        <v>299</v>
      </c>
      <c r="B54" s="1083">
        <f>$C$52*$F$45</f>
        <v>0</v>
      </c>
      <c r="C54" s="582">
        <f>ROUNDDOWN(B54*0.33/12,0)</f>
        <v>0</v>
      </c>
      <c r="D54" s="1084"/>
      <c r="E54" s="1084"/>
      <c r="F54" s="1085">
        <f>E54*12</f>
        <v>0</v>
      </c>
      <c r="G54" s="1074">
        <f>C54-E54</f>
        <v>0</v>
      </c>
      <c r="H54" s="1086">
        <f>-PV($A$49/12,360,G54,0)</f>
        <v>0</v>
      </c>
      <c r="I54" s="1086">
        <f>H54/(1-$B$49)</f>
        <v>0</v>
      </c>
      <c r="J54" s="1084"/>
      <c r="K54" s="1086">
        <f>I54*J54</f>
        <v>0</v>
      </c>
    </row>
    <row r="55" spans="1:11" ht="14.25">
      <c r="A55" s="1059" t="s">
        <v>301</v>
      </c>
      <c r="B55" s="1083">
        <f>$C$52*$F$46</f>
        <v>0</v>
      </c>
      <c r="C55" s="582">
        <f>ROUNDDOWN(B55*0.33/12,0)</f>
        <v>0</v>
      </c>
      <c r="D55" s="1087"/>
      <c r="E55" s="1084"/>
      <c r="F55" s="1085">
        <f>E55*12</f>
        <v>0</v>
      </c>
      <c r="G55" s="1074">
        <f>C55-E55</f>
        <v>0</v>
      </c>
      <c r="H55" s="1086">
        <f>-PV($A$49/12,360,G55,0)</f>
        <v>0</v>
      </c>
      <c r="I55" s="1086">
        <f>H55/(1-$B$49)</f>
        <v>0</v>
      </c>
      <c r="J55" s="1084"/>
      <c r="K55" s="1086">
        <f>I55*J55</f>
        <v>0</v>
      </c>
    </row>
    <row r="56" spans="1:11" ht="14.25">
      <c r="A56" s="1059" t="s">
        <v>303</v>
      </c>
      <c r="B56" s="1083">
        <f>$C$52*$F$47</f>
        <v>0</v>
      </c>
      <c r="C56" s="582">
        <f>ROUNDDOWN(B56*0.33/12,0)</f>
        <v>0</v>
      </c>
      <c r="D56" s="1087"/>
      <c r="E56" s="1084"/>
      <c r="F56" s="1085">
        <f>E56*12</f>
        <v>0</v>
      </c>
      <c r="G56" s="1074">
        <f>C56-E56</f>
        <v>0</v>
      </c>
      <c r="H56" s="1086">
        <f>-PV($A$49/12,360,G56,0)</f>
        <v>0</v>
      </c>
      <c r="I56" s="1086">
        <f>H56/(1-$B$49)</f>
        <v>0</v>
      </c>
      <c r="J56" s="1084"/>
      <c r="K56" s="1086">
        <f>I56*J56</f>
        <v>0</v>
      </c>
    </row>
    <row r="57" spans="1:11" ht="14.25">
      <c r="A57" s="1059" t="s">
        <v>305</v>
      </c>
      <c r="B57" s="1083">
        <f>$C$52*$F$48</f>
        <v>0</v>
      </c>
      <c r="C57" s="582">
        <f>ROUNDDOWN(B57*0.33/12,0)</f>
        <v>0</v>
      </c>
      <c r="D57" s="1087"/>
      <c r="E57" s="1084"/>
      <c r="F57" s="1085">
        <f>E57*12</f>
        <v>0</v>
      </c>
      <c r="G57" s="1074">
        <f>C57-E57</f>
        <v>0</v>
      </c>
      <c r="H57" s="1086">
        <f>-PV($A$49/12,360,G57,0)</f>
        <v>0</v>
      </c>
      <c r="I57" s="1086">
        <f>H57/(1-$B$49)</f>
        <v>0</v>
      </c>
      <c r="J57" s="1084"/>
      <c r="K57" s="1086">
        <f>I57*J57</f>
        <v>0</v>
      </c>
    </row>
    <row r="58" spans="2:12" ht="14.25">
      <c r="B58" s="1080"/>
      <c r="C58" s="1080"/>
      <c r="D58" s="1080"/>
      <c r="F58" s="1080"/>
      <c r="L58" s="1088"/>
    </row>
    <row r="59" spans="1:12" ht="14.25">
      <c r="A59" s="889"/>
      <c r="B59" s="1077"/>
      <c r="C59" s="1077"/>
      <c r="D59" s="1077"/>
      <c r="E59" s="1076"/>
      <c r="F59" s="1077"/>
      <c r="L59" s="1088"/>
    </row>
    <row r="60" spans="1:12" ht="15">
      <c r="A60" s="1078"/>
      <c r="B60" s="540" t="s">
        <v>315</v>
      </c>
      <c r="C60" s="1079">
        <f>B46*A60</f>
        <v>0</v>
      </c>
      <c r="D60" s="1080"/>
      <c r="F60" s="1080"/>
      <c r="L60" s="1088"/>
    </row>
    <row r="61" spans="1:11" ht="42.75">
      <c r="A61" s="1080"/>
      <c r="B61" s="1080" t="s">
        <v>328</v>
      </c>
      <c r="C61" s="1081" t="s">
        <v>598</v>
      </c>
      <c r="D61" s="1082" t="s">
        <v>606</v>
      </c>
      <c r="E61" s="1080" t="s">
        <v>600</v>
      </c>
      <c r="F61" s="1080" t="s">
        <v>601</v>
      </c>
      <c r="G61" s="1080" t="s">
        <v>602</v>
      </c>
      <c r="H61" s="1080" t="s">
        <v>603</v>
      </c>
      <c r="I61" s="1072" t="s">
        <v>604</v>
      </c>
      <c r="J61" s="1072" t="s">
        <v>313</v>
      </c>
      <c r="K61" s="1072" t="str">
        <f>K53</f>
        <v>Subotal</v>
      </c>
    </row>
    <row r="62" spans="1:11" ht="14.25">
      <c r="A62" s="1059" t="s">
        <v>299</v>
      </c>
      <c r="B62" s="1083">
        <f>$C$60*$F$45</f>
        <v>0</v>
      </c>
      <c r="C62" s="582">
        <f>ROUNDDOWN(B62*0.33/12,0)</f>
        <v>0</v>
      </c>
      <c r="D62" s="1084"/>
      <c r="E62" s="1084"/>
      <c r="F62" s="1085">
        <f>E62*12</f>
        <v>0</v>
      </c>
      <c r="G62" s="1074">
        <f>C62-E62</f>
        <v>0</v>
      </c>
      <c r="H62" s="1086">
        <f>-PV($A$49/12,360,G62,0)</f>
        <v>0</v>
      </c>
      <c r="I62" s="1086">
        <f>H62/(1-$B$49)</f>
        <v>0</v>
      </c>
      <c r="J62" s="1084"/>
      <c r="K62" s="1086">
        <f>I62*J62</f>
        <v>0</v>
      </c>
    </row>
    <row r="63" spans="1:11" ht="14.25">
      <c r="A63" s="1059" t="s">
        <v>301</v>
      </c>
      <c r="B63" s="1083">
        <f>$C$60*$F$46</f>
        <v>0</v>
      </c>
      <c r="C63" s="582">
        <f>ROUNDDOWN(B63*0.33/12,0)</f>
        <v>0</v>
      </c>
      <c r="D63" s="1087"/>
      <c r="E63" s="1084"/>
      <c r="F63" s="1085">
        <f>E63*12</f>
        <v>0</v>
      </c>
      <c r="G63" s="1074">
        <f>C63-E63</f>
        <v>0</v>
      </c>
      <c r="H63" s="1086">
        <f>-PV($A$49/12,360,G63,0)</f>
        <v>0</v>
      </c>
      <c r="I63" s="1086">
        <f>H63/(1-$B$49)</f>
        <v>0</v>
      </c>
      <c r="J63" s="1084"/>
      <c r="K63" s="1086">
        <f>I63*J63</f>
        <v>0</v>
      </c>
    </row>
    <row r="64" spans="1:11" ht="14.25">
      <c r="A64" s="1059" t="s">
        <v>303</v>
      </c>
      <c r="B64" s="1083">
        <f>$C$60*$F$47</f>
        <v>0</v>
      </c>
      <c r="C64" s="582">
        <f>ROUNDDOWN(B64*0.33/12,0)</f>
        <v>0</v>
      </c>
      <c r="D64" s="1087"/>
      <c r="E64" s="1084"/>
      <c r="F64" s="1085">
        <f>E64*12</f>
        <v>0</v>
      </c>
      <c r="G64" s="1074">
        <f>C64-E64</f>
        <v>0</v>
      </c>
      <c r="H64" s="1086">
        <f>-PV($A$49/12,360,G64,0)</f>
        <v>0</v>
      </c>
      <c r="I64" s="1086">
        <f>H64/(1-$B$49)</f>
        <v>0</v>
      </c>
      <c r="J64" s="1084"/>
      <c r="K64" s="1086">
        <f>I64*J64</f>
        <v>0</v>
      </c>
    </row>
    <row r="65" spans="1:11" ht="14.25">
      <c r="A65" s="1059" t="s">
        <v>305</v>
      </c>
      <c r="B65" s="1083">
        <f>$C$60*$F$48</f>
        <v>0</v>
      </c>
      <c r="C65" s="582">
        <f>ROUNDDOWN(B65*0.33/12,0)</f>
        <v>0</v>
      </c>
      <c r="D65" s="1087"/>
      <c r="E65" s="1084"/>
      <c r="F65" s="1085">
        <f>E65*12</f>
        <v>0</v>
      </c>
      <c r="G65" s="1074">
        <f>C65-E65</f>
        <v>0</v>
      </c>
      <c r="H65" s="1086">
        <f>-PV($A$49/12,360,G65,0)</f>
        <v>0</v>
      </c>
      <c r="I65" s="1086">
        <f>H65/(1-$B$49)</f>
        <v>0</v>
      </c>
      <c r="J65" s="1084"/>
      <c r="K65" s="1086">
        <f>I65*J65</f>
        <v>0</v>
      </c>
    </row>
    <row r="66" spans="2:12" ht="14.25">
      <c r="B66" s="1080"/>
      <c r="C66" s="1080"/>
      <c r="D66" s="1080"/>
      <c r="F66" s="1080"/>
      <c r="L66" s="1088"/>
    </row>
    <row r="67" spans="1:12" ht="14.25">
      <c r="A67" s="889"/>
      <c r="B67" s="1077"/>
      <c r="C67" s="1077"/>
      <c r="D67" s="1077"/>
      <c r="E67" s="1076"/>
      <c r="F67" s="1077"/>
      <c r="L67" s="1088"/>
    </row>
    <row r="68" spans="1:12" ht="15">
      <c r="A68" s="1078"/>
      <c r="B68" s="540" t="s">
        <v>315</v>
      </c>
      <c r="C68" s="1079">
        <f>B46*A68</f>
        <v>0</v>
      </c>
      <c r="D68" s="1080"/>
      <c r="F68" s="1080"/>
      <c r="L68" s="1088"/>
    </row>
    <row r="69" spans="1:11" ht="42.75">
      <c r="A69" s="1080"/>
      <c r="B69" s="1080" t="s">
        <v>328</v>
      </c>
      <c r="C69" s="1081" t="s">
        <v>598</v>
      </c>
      <c r="D69" s="1082" t="s">
        <v>606</v>
      </c>
      <c r="E69" s="1080" t="s">
        <v>600</v>
      </c>
      <c r="F69" s="1080" t="s">
        <v>601</v>
      </c>
      <c r="G69" s="1080" t="s">
        <v>602</v>
      </c>
      <c r="H69" s="1080" t="s">
        <v>603</v>
      </c>
      <c r="I69" s="1072" t="s">
        <v>604</v>
      </c>
      <c r="J69" s="1072" t="s">
        <v>313</v>
      </c>
      <c r="K69" s="1072" t="str">
        <f>K53</f>
        <v>Subotal</v>
      </c>
    </row>
    <row r="70" spans="1:11" ht="14.25">
      <c r="A70" s="1059" t="s">
        <v>299</v>
      </c>
      <c r="B70" s="1083">
        <f>$C$68*$F$45</f>
        <v>0</v>
      </c>
      <c r="C70" s="582">
        <f>ROUNDDOWN(B70*0.33/12,0)</f>
        <v>0</v>
      </c>
      <c r="D70" s="1084"/>
      <c r="E70" s="1084"/>
      <c r="F70" s="1085">
        <f>E70*12</f>
        <v>0</v>
      </c>
      <c r="G70" s="1074">
        <f>C70-E70</f>
        <v>0</v>
      </c>
      <c r="H70" s="1086">
        <f>-PV($A$49/12,360,G70,0)</f>
        <v>0</v>
      </c>
      <c r="I70" s="1086">
        <f>H70/(1-$B$49)</f>
        <v>0</v>
      </c>
      <c r="J70" s="1084"/>
      <c r="K70" s="1086">
        <f>I70*J70</f>
        <v>0</v>
      </c>
    </row>
    <row r="71" spans="1:11" ht="14.25">
      <c r="A71" s="1059" t="s">
        <v>301</v>
      </c>
      <c r="B71" s="1083">
        <f>$C$68*$F$46</f>
        <v>0</v>
      </c>
      <c r="C71" s="582">
        <f>ROUNDDOWN(B71*0.33/12,0)</f>
        <v>0</v>
      </c>
      <c r="D71" s="1087"/>
      <c r="E71" s="1084"/>
      <c r="F71" s="1085">
        <f>E71*12</f>
        <v>0</v>
      </c>
      <c r="G71" s="1074">
        <f>C71-E71</f>
        <v>0</v>
      </c>
      <c r="H71" s="1086">
        <f>-PV($A$49/12,360,G71,0)</f>
        <v>0</v>
      </c>
      <c r="I71" s="1086">
        <f>H71/(1-$B$49)</f>
        <v>0</v>
      </c>
      <c r="J71" s="1084"/>
      <c r="K71" s="1086">
        <f>I71*J71</f>
        <v>0</v>
      </c>
    </row>
    <row r="72" spans="1:11" ht="14.25">
      <c r="A72" s="1059" t="s">
        <v>303</v>
      </c>
      <c r="B72" s="1083">
        <f>$C$68*$F$47</f>
        <v>0</v>
      </c>
      <c r="C72" s="582">
        <f>ROUNDDOWN(B72*0.33/12,0)</f>
        <v>0</v>
      </c>
      <c r="D72" s="1087"/>
      <c r="E72" s="1084"/>
      <c r="F72" s="1085">
        <f>E72*12</f>
        <v>0</v>
      </c>
      <c r="G72" s="1074">
        <f>C72-E72</f>
        <v>0</v>
      </c>
      <c r="H72" s="1086">
        <f>-PV($A$49/12,360,G72,0)</f>
        <v>0</v>
      </c>
      <c r="I72" s="1086">
        <f>H72/(1-$B$49)</f>
        <v>0</v>
      </c>
      <c r="J72" s="1084"/>
      <c r="K72" s="1086">
        <f>I72*J72</f>
        <v>0</v>
      </c>
    </row>
    <row r="73" spans="1:11" ht="14.25">
      <c r="A73" s="1059" t="s">
        <v>305</v>
      </c>
      <c r="B73" s="1083">
        <f>$C$68*$F$48</f>
        <v>0</v>
      </c>
      <c r="C73" s="582">
        <f>ROUNDDOWN(B73*0.33/12,0)</f>
        <v>0</v>
      </c>
      <c r="D73" s="1087"/>
      <c r="E73" s="1084"/>
      <c r="F73" s="1085">
        <f>E73*12</f>
        <v>0</v>
      </c>
      <c r="G73" s="1074">
        <f>C73-E73</f>
        <v>0</v>
      </c>
      <c r="H73" s="1086">
        <f>-PV($A$49/12,360,G73,0)</f>
        <v>0</v>
      </c>
      <c r="I73" s="1086">
        <f>H73/(1-$B$49)</f>
        <v>0</v>
      </c>
      <c r="J73" s="1084"/>
      <c r="K73" s="1086">
        <f>I73*J73</f>
        <v>0</v>
      </c>
    </row>
    <row r="74" spans="1:13" s="889" customFormat="1" ht="14.25">
      <c r="A74" s="1017"/>
      <c r="B74" s="1080"/>
      <c r="C74" s="1080"/>
      <c r="D74" s="1080"/>
      <c r="E74" s="1017"/>
      <c r="F74" s="1080"/>
      <c r="G74" s="1017"/>
      <c r="H74" s="1017"/>
      <c r="I74" s="1017"/>
      <c r="J74" s="1017"/>
      <c r="K74" s="1017"/>
      <c r="L74" s="1088"/>
      <c r="M74" s="1017"/>
    </row>
    <row r="75" spans="2:13" s="889" customFormat="1" ht="14.25">
      <c r="B75" s="1077"/>
      <c r="C75" s="1077"/>
      <c r="D75" s="1077"/>
      <c r="E75" s="1076"/>
      <c r="F75" s="1077"/>
      <c r="G75" s="1017"/>
      <c r="H75" s="1017"/>
      <c r="I75" s="1017"/>
      <c r="J75" s="1017"/>
      <c r="K75" s="1017"/>
      <c r="L75" s="1088"/>
      <c r="M75" s="1017"/>
    </row>
    <row r="76" spans="1:12" ht="15">
      <c r="A76" s="1078"/>
      <c r="B76" s="540" t="s">
        <v>315</v>
      </c>
      <c r="C76" s="1079">
        <f>B46*A76</f>
        <v>0</v>
      </c>
      <c r="D76" s="1080"/>
      <c r="F76" s="1080"/>
      <c r="L76" s="1088"/>
    </row>
    <row r="77" spans="1:11" ht="42.75">
      <c r="A77" s="1080"/>
      <c r="B77" s="1080" t="s">
        <v>328</v>
      </c>
      <c r="C77" s="1081" t="s">
        <v>598</v>
      </c>
      <c r="D77" s="1082" t="s">
        <v>606</v>
      </c>
      <c r="E77" s="1080" t="s">
        <v>600</v>
      </c>
      <c r="F77" s="1080" t="s">
        <v>601</v>
      </c>
      <c r="G77" s="1080" t="s">
        <v>602</v>
      </c>
      <c r="H77" s="1080" t="s">
        <v>603</v>
      </c>
      <c r="I77" s="1072" t="s">
        <v>604</v>
      </c>
      <c r="J77" s="1072" t="s">
        <v>313</v>
      </c>
      <c r="K77" s="1072" t="str">
        <f>K53</f>
        <v>Subotal</v>
      </c>
    </row>
    <row r="78" spans="1:11" ht="14.25">
      <c r="A78" s="1059" t="s">
        <v>299</v>
      </c>
      <c r="B78" s="1083">
        <f>$C$76*$F$45</f>
        <v>0</v>
      </c>
      <c r="C78" s="582">
        <f>ROUNDDOWN(B78*0.33/12,0)</f>
        <v>0</v>
      </c>
      <c r="D78" s="1084"/>
      <c r="E78" s="1084"/>
      <c r="F78" s="1085">
        <f>E78*12</f>
        <v>0</v>
      </c>
      <c r="G78" s="1074">
        <f>C78-E78</f>
        <v>0</v>
      </c>
      <c r="H78" s="1086">
        <f>-PV($A$49/12,360,G78,0)</f>
        <v>0</v>
      </c>
      <c r="I78" s="1086">
        <f>H78/(1-$B$49)</f>
        <v>0</v>
      </c>
      <c r="J78" s="1084"/>
      <c r="K78" s="1086">
        <f>I78*J78</f>
        <v>0</v>
      </c>
    </row>
    <row r="79" spans="1:11" ht="14.25">
      <c r="A79" s="1059" t="s">
        <v>301</v>
      </c>
      <c r="B79" s="1083">
        <f>$C$76*$F$46</f>
        <v>0</v>
      </c>
      <c r="C79" s="582">
        <f>ROUNDDOWN(B79*0.33/12,0)</f>
        <v>0</v>
      </c>
      <c r="D79" s="1087"/>
      <c r="E79" s="1084"/>
      <c r="F79" s="1085">
        <f>E79*12</f>
        <v>0</v>
      </c>
      <c r="G79" s="1074">
        <f>C79-E79</f>
        <v>0</v>
      </c>
      <c r="H79" s="1086">
        <f>-PV($A$49/12,360,G79,0)</f>
        <v>0</v>
      </c>
      <c r="I79" s="1086">
        <f>H79/(1-$B$49)</f>
        <v>0</v>
      </c>
      <c r="J79" s="1084"/>
      <c r="K79" s="1086">
        <f>I79*J79</f>
        <v>0</v>
      </c>
    </row>
    <row r="80" spans="1:11" ht="14.25">
      <c r="A80" s="1059" t="s">
        <v>303</v>
      </c>
      <c r="B80" s="1083">
        <f>$C$76*$F$47</f>
        <v>0</v>
      </c>
      <c r="C80" s="582">
        <f>ROUNDDOWN(B80*0.33/12,0)</f>
        <v>0</v>
      </c>
      <c r="D80" s="1087"/>
      <c r="E80" s="1084"/>
      <c r="F80" s="1085">
        <f>E80*12</f>
        <v>0</v>
      </c>
      <c r="G80" s="1074">
        <f>C80-E80</f>
        <v>0</v>
      </c>
      <c r="H80" s="1086">
        <f>-PV($A$49/12,360,G80,0)</f>
        <v>0</v>
      </c>
      <c r="I80" s="1086">
        <f>H80/(1-$B$49)</f>
        <v>0</v>
      </c>
      <c r="J80" s="1084"/>
      <c r="K80" s="1086">
        <f>I80*J80</f>
        <v>0</v>
      </c>
    </row>
    <row r="81" spans="1:11" ht="14.25">
      <c r="A81" s="1059" t="s">
        <v>305</v>
      </c>
      <c r="B81" s="1083">
        <f>$C$76*$F$48</f>
        <v>0</v>
      </c>
      <c r="C81" s="582">
        <f>ROUNDDOWN(B81*0.33/12,0)</f>
        <v>0</v>
      </c>
      <c r="D81" s="1087"/>
      <c r="E81" s="1084"/>
      <c r="F81" s="1085">
        <f>E81*12</f>
        <v>0</v>
      </c>
      <c r="G81" s="1074">
        <f>C81-E81</f>
        <v>0</v>
      </c>
      <c r="H81" s="1086">
        <f>-PV($A$49/12,360,G81,0)</f>
        <v>0</v>
      </c>
      <c r="I81" s="1086">
        <f>H81/(1-$B$49)</f>
        <v>0</v>
      </c>
      <c r="J81" s="1084"/>
      <c r="K81" s="1086">
        <f>I81*J81</f>
        <v>0</v>
      </c>
    </row>
    <row r="82" spans="1:18" ht="14.25">
      <c r="A82" s="1059"/>
      <c r="B82" s="1059"/>
      <c r="C82" s="1064"/>
      <c r="D82" s="1083"/>
      <c r="E82" s="1089"/>
      <c r="F82" s="1090"/>
      <c r="G82" s="581"/>
      <c r="H82" s="1091"/>
      <c r="I82" s="1092"/>
      <c r="J82" s="1093"/>
      <c r="K82" s="1093"/>
      <c r="L82" s="1072"/>
      <c r="M82" s="1093"/>
      <c r="N82" s="1094"/>
      <c r="O82" s="1094"/>
      <c r="P82" s="1094"/>
      <c r="Q82" s="1094"/>
      <c r="R82" s="1094"/>
    </row>
    <row r="83" spans="1:12" ht="15">
      <c r="A83" s="540" t="s">
        <v>334</v>
      </c>
      <c r="B83" s="1095"/>
      <c r="C83" s="1096"/>
      <c r="D83" s="1080"/>
      <c r="F83" s="1080"/>
      <c r="L83" s="1088"/>
    </row>
    <row r="84" spans="1:7" ht="28.5">
      <c r="A84" s="1080"/>
      <c r="B84" s="1082" t="s">
        <v>606</v>
      </c>
      <c r="C84" s="1080" t="s">
        <v>600</v>
      </c>
      <c r="D84" s="1080" t="s">
        <v>601</v>
      </c>
      <c r="E84" s="1072" t="s">
        <v>604</v>
      </c>
      <c r="F84" s="1072" t="s">
        <v>313</v>
      </c>
      <c r="G84" s="1072" t="str">
        <f>K53</f>
        <v>Subotal</v>
      </c>
    </row>
    <row r="85" spans="1:7" ht="14.25">
      <c r="A85" s="1059" t="s">
        <v>299</v>
      </c>
      <c r="B85" s="1084"/>
      <c r="C85" s="1084"/>
      <c r="D85" s="1085">
        <f>C85*12</f>
        <v>0</v>
      </c>
      <c r="E85" s="1097"/>
      <c r="F85" s="1084"/>
      <c r="G85" s="1086">
        <f>E85*F85</f>
        <v>0</v>
      </c>
    </row>
    <row r="86" spans="1:7" ht="14.25">
      <c r="A86" s="1059" t="s">
        <v>301</v>
      </c>
      <c r="B86" s="1087"/>
      <c r="C86" s="1084"/>
      <c r="D86" s="1085">
        <f>C86*12</f>
        <v>0</v>
      </c>
      <c r="E86" s="1097"/>
      <c r="F86" s="1084"/>
      <c r="G86" s="1086">
        <f>E86*F86</f>
        <v>0</v>
      </c>
    </row>
    <row r="87" spans="1:7" ht="14.25">
      <c r="A87" s="1059" t="s">
        <v>303</v>
      </c>
      <c r="B87" s="1087"/>
      <c r="C87" s="1084"/>
      <c r="D87" s="1085">
        <f>C87*12</f>
        <v>0</v>
      </c>
      <c r="E87" s="1097"/>
      <c r="F87" s="1084"/>
      <c r="G87" s="1086">
        <f>E87*F87</f>
        <v>0</v>
      </c>
    </row>
    <row r="88" spans="1:7" ht="14.25">
      <c r="A88" s="1059" t="s">
        <v>305</v>
      </c>
      <c r="B88" s="1087"/>
      <c r="C88" s="1084"/>
      <c r="D88" s="1085">
        <f>C88*12</f>
        <v>0</v>
      </c>
      <c r="E88" s="1097"/>
      <c r="F88" s="1084"/>
      <c r="G88" s="1086">
        <f>E88*F88</f>
        <v>0</v>
      </c>
    </row>
    <row r="89" spans="1:10" ht="15">
      <c r="A89" s="1098"/>
      <c r="B89" s="889"/>
      <c r="C89" s="889"/>
      <c r="D89" s="1099"/>
      <c r="E89" s="1099"/>
      <c r="F89" s="1100"/>
      <c r="G89" s="1099"/>
      <c r="H89" s="1099"/>
      <c r="I89" s="889"/>
      <c r="J89" s="889"/>
    </row>
    <row r="90" spans="1:4" ht="15">
      <c r="A90" s="889"/>
      <c r="B90" s="1101" t="s">
        <v>607</v>
      </c>
      <c r="C90" s="1102">
        <f>SUM((F54*J54),(F55*J55),(F56*J56),(F57*J57),(F62*J62),(F63*J63),(F64*J64),(F65*J65),(F70*J70),(F71*J71),(F72*J72),(F73*J73),(F78*J78),(F79*J79),(F80*J80),(F81*J81),(D85*F85),(D86*F86),(D87*F87),(D88*F88))</f>
        <v>0</v>
      </c>
      <c r="D90" s="1100"/>
    </row>
    <row r="92" spans="1:3" ht="15">
      <c r="A92" s="1099"/>
      <c r="B92" s="1101" t="s">
        <v>608</v>
      </c>
      <c r="C92" s="1102">
        <f>SUM(K54:K57,K62:K65,K70:K73,K78:K81,G85:G88)</f>
        <v>0</v>
      </c>
    </row>
    <row r="94" spans="1:3" ht="15">
      <c r="A94" s="1103"/>
      <c r="B94" s="1104" t="s">
        <v>609</v>
      </c>
      <c r="C94" s="1105">
        <f>D41+C90</f>
        <v>0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4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</sheetPr>
  <dimension ref="A1:F41"/>
  <sheetViews>
    <sheetView zoomScale="75" zoomScaleNormal="75" zoomScalePageLayoutView="0" workbookViewId="0" topLeftCell="A1">
      <selection activeCell="A4" sqref="A4"/>
    </sheetView>
  </sheetViews>
  <sheetFormatPr defaultColWidth="8.88671875" defaultRowHeight="15"/>
  <cols>
    <col min="1" max="1" width="28.99609375" style="0" customWidth="1"/>
    <col min="2" max="2" width="11.5546875" style="0" bestFit="1" customWidth="1"/>
    <col min="3" max="3" width="12.88671875" style="477" bestFit="1" customWidth="1"/>
    <col min="4" max="4" width="8.99609375" style="0" customWidth="1"/>
    <col min="5" max="5" width="11.4453125" style="0" customWidth="1"/>
  </cols>
  <sheetData>
    <row r="1" spans="1:5" ht="15.75">
      <c r="A1" s="804" t="str">
        <f>'HO-Sources and Uses'!A1</f>
        <v>Willets Point Phase 1 Development</v>
      </c>
      <c r="B1" s="1106"/>
      <c r="C1" s="1107"/>
      <c r="D1" s="1108" t="s">
        <v>232</v>
      </c>
      <c r="E1" s="1106">
        <f>UNITS_HO</f>
        <v>0</v>
      </c>
    </row>
    <row r="2" spans="1:5" ht="15.75">
      <c r="A2" s="804">
        <f>'HO-Sources and Uses'!A2</f>
        <v>0</v>
      </c>
      <c r="B2" s="1106"/>
      <c r="C2" s="1107"/>
      <c r="D2" s="1106" t="s">
        <v>484</v>
      </c>
      <c r="E2" s="1106">
        <f>ROOMS_HO</f>
        <v>0</v>
      </c>
    </row>
    <row r="3" spans="1:5" ht="15.75">
      <c r="A3" s="804"/>
      <c r="B3" s="1106"/>
      <c r="C3" s="1107"/>
      <c r="D3" s="1106"/>
      <c r="E3" s="1106"/>
    </row>
    <row r="4" spans="1:5" ht="15">
      <c r="A4" s="1373" t="s">
        <v>660</v>
      </c>
      <c r="B4" s="1109"/>
      <c r="C4" s="1110"/>
      <c r="D4" s="1109"/>
      <c r="E4" s="1109"/>
    </row>
    <row r="5" spans="1:5" ht="15">
      <c r="A5" s="1111"/>
      <c r="B5" s="1111"/>
      <c r="C5" s="1112"/>
      <c r="D5" s="1111"/>
      <c r="E5" s="1111"/>
    </row>
    <row r="6" spans="1:5" ht="15">
      <c r="A6" s="1111"/>
      <c r="B6" s="1111"/>
      <c r="C6" s="1113"/>
      <c r="D6" s="1114"/>
      <c r="E6" s="1115"/>
    </row>
    <row r="7" spans="1:5" s="44" customFormat="1" ht="15">
      <c r="A7" s="42" t="s">
        <v>177</v>
      </c>
      <c r="B7" s="11"/>
      <c r="C7" s="1116" t="s">
        <v>292</v>
      </c>
      <c r="D7" s="1117" t="s">
        <v>610</v>
      </c>
      <c r="E7" s="1117"/>
    </row>
    <row r="8" spans="1:5" s="44" customFormat="1" ht="15">
      <c r="A8" s="11" t="s">
        <v>15</v>
      </c>
      <c r="B8" s="11"/>
      <c r="C8" s="1118">
        <f>D8*E2</f>
        <v>0</v>
      </c>
      <c r="D8" s="1119"/>
      <c r="E8" s="1120" t="s">
        <v>611</v>
      </c>
    </row>
    <row r="9" spans="1:5" s="44" customFormat="1" ht="15">
      <c r="A9" s="11" t="s">
        <v>17</v>
      </c>
      <c r="B9" s="11"/>
      <c r="C9" s="1121">
        <f>D9*E2</f>
        <v>0</v>
      </c>
      <c r="D9" s="1122"/>
      <c r="E9" s="1123" t="s">
        <v>611</v>
      </c>
    </row>
    <row r="10" spans="1:5" s="44" customFormat="1" ht="15">
      <c r="A10" s="11" t="s">
        <v>18</v>
      </c>
      <c r="B10" s="11"/>
      <c r="C10" s="1121">
        <f>D10*E2</f>
        <v>0</v>
      </c>
      <c r="D10" s="1122"/>
      <c r="E10" s="1123" t="s">
        <v>611</v>
      </c>
    </row>
    <row r="11" spans="1:5" s="44" customFormat="1" ht="15">
      <c r="A11" s="11" t="s">
        <v>66</v>
      </c>
      <c r="B11" s="11"/>
      <c r="C11" s="1121">
        <f>D11*E1</f>
        <v>0</v>
      </c>
      <c r="D11" s="1122"/>
      <c r="E11" s="1124" t="s">
        <v>48</v>
      </c>
    </row>
    <row r="12" spans="1:5" s="44" customFormat="1" ht="15">
      <c r="A12" s="11" t="s">
        <v>319</v>
      </c>
      <c r="B12" s="11"/>
      <c r="C12" s="1121">
        <f>D12*E1</f>
        <v>0</v>
      </c>
      <c r="D12" s="1122"/>
      <c r="E12" s="1123" t="s">
        <v>48</v>
      </c>
    </row>
    <row r="13" spans="1:5" s="44" customFormat="1" ht="15">
      <c r="A13" s="11" t="s">
        <v>612</v>
      </c>
      <c r="B13" s="11"/>
      <c r="C13" s="1121">
        <f>D13*E1</f>
        <v>0</v>
      </c>
      <c r="D13" s="1122"/>
      <c r="E13" s="1123" t="s">
        <v>48</v>
      </c>
    </row>
    <row r="14" spans="1:5" s="44" customFormat="1" ht="15">
      <c r="A14" s="709" t="s">
        <v>50</v>
      </c>
      <c r="B14" s="709"/>
      <c r="C14" s="1125">
        <f>D14</f>
        <v>0</v>
      </c>
      <c r="D14" s="1122"/>
      <c r="E14" s="1123" t="s">
        <v>613</v>
      </c>
    </row>
    <row r="15" spans="1:5" s="44" customFormat="1" ht="15">
      <c r="A15" s="709" t="s">
        <v>20</v>
      </c>
      <c r="B15" s="709"/>
      <c r="C15" s="1121">
        <f>D15*E2</f>
        <v>0</v>
      </c>
      <c r="D15" s="1122"/>
      <c r="E15" s="1123" t="s">
        <v>611</v>
      </c>
    </row>
    <row r="16" spans="1:5" s="44" customFormat="1" ht="15">
      <c r="A16" s="1126" t="s">
        <v>21</v>
      </c>
      <c r="B16" s="709"/>
      <c r="C16" s="1127">
        <f>C18+C19</f>
        <v>0</v>
      </c>
      <c r="D16" s="1128" t="e">
        <f>C16/E1</f>
        <v>#DIV/0!</v>
      </c>
      <c r="E16" s="38" t="s">
        <v>19</v>
      </c>
    </row>
    <row r="17" spans="1:5" s="44" customFormat="1" ht="15">
      <c r="A17" s="1126" t="s">
        <v>22</v>
      </c>
      <c r="B17" s="1129"/>
      <c r="C17" s="751"/>
      <c r="D17" s="751"/>
      <c r="E17" s="38"/>
    </row>
    <row r="18" spans="1:5" s="44" customFormat="1" ht="15">
      <c r="A18" s="1130" t="s">
        <v>135</v>
      </c>
      <c r="B18" s="1131"/>
      <c r="C18" s="1132">
        <f>D18*B18</f>
        <v>0</v>
      </c>
      <c r="D18" s="1133"/>
      <c r="E18" s="1134" t="s">
        <v>318</v>
      </c>
    </row>
    <row r="19" spans="1:5" s="44" customFormat="1" ht="15">
      <c r="A19" s="1130" t="s">
        <v>104</v>
      </c>
      <c r="B19" s="1131"/>
      <c r="C19" s="1132">
        <f>D19*B19</f>
        <v>0</v>
      </c>
      <c r="D19" s="1133"/>
      <c r="E19" s="1134" t="s">
        <v>318</v>
      </c>
    </row>
    <row r="20" spans="1:6" s="751" customFormat="1" ht="12.75">
      <c r="A20" s="1126" t="s">
        <v>23</v>
      </c>
      <c r="B20" s="1131"/>
      <c r="C20" s="1135">
        <f>D20*B20</f>
        <v>0</v>
      </c>
      <c r="D20" s="1136"/>
      <c r="E20" s="1134" t="s">
        <v>68</v>
      </c>
      <c r="F20" s="718"/>
    </row>
    <row r="21" spans="1:5" s="44" customFormat="1" ht="15">
      <c r="A21" s="709" t="s">
        <v>24</v>
      </c>
      <c r="B21" s="709"/>
      <c r="C21" s="1121">
        <f>D21*ERI_HO</f>
        <v>0</v>
      </c>
      <c r="D21" s="1137"/>
      <c r="E21" s="1138" t="s">
        <v>614</v>
      </c>
    </row>
    <row r="22" spans="1:5" s="44" customFormat="1" ht="15">
      <c r="A22" s="709" t="s">
        <v>25</v>
      </c>
      <c r="B22" s="1139"/>
      <c r="C22" s="1121">
        <f>D22*E2</f>
        <v>0</v>
      </c>
      <c r="D22" s="1140"/>
      <c r="E22" s="1138" t="s">
        <v>611</v>
      </c>
    </row>
    <row r="23" spans="1:5" s="44" customFormat="1" ht="15">
      <c r="A23" s="709" t="s">
        <v>26</v>
      </c>
      <c r="B23" s="1139"/>
      <c r="C23" s="1121">
        <f>D23*E1</f>
        <v>0</v>
      </c>
      <c r="D23" s="1140"/>
      <c r="E23" s="1141" t="s">
        <v>615</v>
      </c>
    </row>
    <row r="24" spans="1:5" s="44" customFormat="1" ht="15">
      <c r="A24" s="1142" t="s">
        <v>83</v>
      </c>
      <c r="B24" s="709"/>
      <c r="C24" s="1121">
        <f>D24</f>
        <v>0</v>
      </c>
      <c r="D24" s="1140"/>
      <c r="E24" s="1138" t="s">
        <v>613</v>
      </c>
    </row>
    <row r="25" spans="1:5" s="44" customFormat="1" ht="15">
      <c r="A25" s="709" t="s">
        <v>616</v>
      </c>
      <c r="B25" s="709"/>
      <c r="C25" s="1121">
        <f>D25*E1</f>
        <v>0</v>
      </c>
      <c r="D25" s="1140"/>
      <c r="E25" s="1138" t="s">
        <v>48</v>
      </c>
    </row>
    <row r="26" spans="1:5" s="44" customFormat="1" ht="15">
      <c r="A26" s="709" t="s">
        <v>616</v>
      </c>
      <c r="B26" s="709"/>
      <c r="C26" s="1121">
        <f>D26*E1</f>
        <v>0</v>
      </c>
      <c r="D26" s="1140"/>
      <c r="E26" s="1138" t="s">
        <v>48</v>
      </c>
    </row>
    <row r="27" spans="1:5" s="44" customFormat="1" ht="15">
      <c r="A27" s="709" t="s">
        <v>616</v>
      </c>
      <c r="B27" s="709"/>
      <c r="C27" s="1121">
        <f>D27*E1</f>
        <v>0</v>
      </c>
      <c r="D27" s="1140"/>
      <c r="E27" s="1138" t="s">
        <v>48</v>
      </c>
    </row>
    <row r="28" spans="1:5" s="44" customFormat="1" ht="15">
      <c r="A28" s="1143" t="s">
        <v>28</v>
      </c>
      <c r="B28" s="1144"/>
      <c r="C28" s="1145">
        <f>SUM(C8:C15,C18:C27)</f>
        <v>0</v>
      </c>
      <c r="D28" s="1146" t="e">
        <f>C28/E1</f>
        <v>#DIV/0!</v>
      </c>
      <c r="E28" s="1147" t="s">
        <v>48</v>
      </c>
    </row>
    <row r="29" spans="1:5" s="44" customFormat="1" ht="15">
      <c r="A29" s="709" t="s">
        <v>617</v>
      </c>
      <c r="B29" s="1148"/>
      <c r="C29" s="1149">
        <f>D29</f>
        <v>0</v>
      </c>
      <c r="D29" s="1150"/>
      <c r="E29" s="1138" t="s">
        <v>613</v>
      </c>
    </row>
    <row r="30" spans="1:5" s="44" customFormat="1" ht="15">
      <c r="A30" s="709" t="s">
        <v>618</v>
      </c>
      <c r="B30" s="1139"/>
      <c r="C30" s="1151">
        <f>D30*E1</f>
        <v>0</v>
      </c>
      <c r="D30" s="1152"/>
      <c r="E30" s="38" t="s">
        <v>48</v>
      </c>
    </row>
    <row r="31" spans="1:5" s="44" customFormat="1" ht="15">
      <c r="A31" s="255" t="s">
        <v>29</v>
      </c>
      <c r="B31" s="255"/>
      <c r="C31" s="1153"/>
      <c r="D31" s="1154" t="e">
        <f>C31/E1</f>
        <v>#DIV/0!</v>
      </c>
      <c r="E31" s="38" t="s">
        <v>48</v>
      </c>
    </row>
    <row r="32" spans="1:5" s="44" customFormat="1" ht="15">
      <c r="A32" s="709"/>
      <c r="B32" s="709"/>
      <c r="C32" s="1151"/>
      <c r="D32" s="1154"/>
      <c r="E32" s="38"/>
    </row>
    <row r="33" spans="1:5" s="44" customFormat="1" ht="15">
      <c r="A33" s="709"/>
      <c r="B33" s="709"/>
      <c r="C33" s="1151"/>
      <c r="D33" s="1154"/>
      <c r="E33" s="38"/>
    </row>
    <row r="34" spans="1:5" s="44" customFormat="1" ht="15.75">
      <c r="A34" s="1155" t="s">
        <v>30</v>
      </c>
      <c r="B34" s="26"/>
      <c r="C34" s="1156">
        <f>SUM(C28:C32)</f>
        <v>0</v>
      </c>
      <c r="D34" s="1157" t="e">
        <f>C34/UNITS_HO</f>
        <v>#DIV/0!</v>
      </c>
      <c r="E34" s="1158" t="s">
        <v>48</v>
      </c>
    </row>
    <row r="35" spans="1:5" ht="15">
      <c r="A35" s="1159"/>
      <c r="B35" s="1160"/>
      <c r="C35" s="1161"/>
      <c r="D35" s="1162" t="e">
        <f>C34/E2</f>
        <v>#DIV/0!</v>
      </c>
      <c r="E35" s="1163" t="s">
        <v>611</v>
      </c>
    </row>
    <row r="36" spans="1:5" ht="15">
      <c r="A36" s="1164"/>
      <c r="B36" s="1164"/>
      <c r="C36" s="1165"/>
      <c r="D36" s="1166"/>
      <c r="E36" s="1160"/>
    </row>
    <row r="37" spans="1:5" ht="15">
      <c r="A37" s="1164"/>
      <c r="B37" s="1164"/>
      <c r="C37" s="1167"/>
      <c r="D37" s="1168"/>
      <c r="E37" s="1168"/>
    </row>
    <row r="38" spans="1:5" ht="15">
      <c r="A38" s="1169">
        <f ca="1">NOW()</f>
        <v>40858.72229074074</v>
      </c>
      <c r="B38" s="1164"/>
      <c r="C38" s="1170"/>
      <c r="D38" s="1171"/>
      <c r="E38" s="1171"/>
    </row>
    <row r="39" spans="1:5" ht="15">
      <c r="A39" s="1106"/>
      <c r="B39" s="1164"/>
      <c r="C39" s="1107"/>
      <c r="D39" s="1106"/>
      <c r="E39" s="1106"/>
    </row>
    <row r="40" spans="1:5" ht="15">
      <c r="A40" s="46"/>
      <c r="B40" s="46"/>
      <c r="C40" s="1172"/>
      <c r="D40" s="46"/>
      <c r="E40" s="46"/>
    </row>
    <row r="41" spans="1:5" ht="15">
      <c r="A41" s="46"/>
      <c r="B41" s="46"/>
      <c r="C41" s="1172"/>
      <c r="D41" s="46"/>
      <c r="E41" s="46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tabColor indexed="26"/>
    <pageSetUpPr fitToPage="1"/>
  </sheetPr>
  <dimension ref="A1:O54"/>
  <sheetViews>
    <sheetView defaultGridColor="0" zoomScale="85" zoomScaleNormal="85" zoomScalePageLayoutView="0" colorId="22" workbookViewId="0" topLeftCell="A1">
      <selection activeCell="A4" sqref="A4"/>
    </sheetView>
  </sheetViews>
  <sheetFormatPr defaultColWidth="9.77734375" defaultRowHeight="15"/>
  <cols>
    <col min="1" max="1" width="22.77734375" style="802" customWidth="1"/>
    <col min="2" max="3" width="9.77734375" style="802" customWidth="1"/>
    <col min="4" max="4" width="10.6640625" style="802" bestFit="1" customWidth="1"/>
    <col min="5" max="5" width="9.77734375" style="802" customWidth="1"/>
    <col min="6" max="6" width="11.4453125" style="802" customWidth="1"/>
    <col min="7" max="7" width="16.77734375" style="802" customWidth="1"/>
    <col min="8" max="8" width="13.4453125" style="802" customWidth="1"/>
    <col min="9" max="9" width="15.4453125" style="802" customWidth="1"/>
    <col min="10" max="11" width="13.6640625" style="802" customWidth="1"/>
    <col min="12" max="12" width="12.4453125" style="802" customWidth="1"/>
    <col min="13" max="13" width="13.4453125" style="802" bestFit="1" customWidth="1"/>
    <col min="14" max="16384" width="9.77734375" style="802" customWidth="1"/>
  </cols>
  <sheetData>
    <row r="1" spans="1:15" ht="15">
      <c r="A1" s="804" t="str">
        <f>'HO-Sources and Uses'!A1</f>
        <v>Willets Point Phase 1 Development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</row>
    <row r="2" spans="1:15" ht="15">
      <c r="A2" s="804">
        <f>'HO-Sources and Uses'!A2</f>
        <v>0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</row>
    <row r="3" ht="14.25"/>
    <row r="4" spans="1:15" ht="14.25">
      <c r="A4" s="1173" t="s">
        <v>31</v>
      </c>
      <c r="B4" s="801"/>
      <c r="C4" s="801"/>
      <c r="D4" s="801"/>
      <c r="E4" s="801"/>
      <c r="F4" s="801"/>
      <c r="G4" s="812"/>
      <c r="H4" s="1174">
        <f ca="1">NOW()</f>
        <v>40858.72229074074</v>
      </c>
      <c r="I4" s="1174"/>
      <c r="J4" s="812"/>
      <c r="K4" s="812"/>
      <c r="L4" s="812"/>
      <c r="M4" s="801"/>
      <c r="N4" s="801"/>
      <c r="O4" s="801"/>
    </row>
    <row r="5" spans="1:15" ht="15">
      <c r="A5" s="1173" t="s">
        <v>619</v>
      </c>
      <c r="B5" s="801"/>
      <c r="C5" s="801"/>
      <c r="D5" s="801"/>
      <c r="E5" s="801"/>
      <c r="F5" s="801"/>
      <c r="G5" s="801"/>
      <c r="H5" s="812"/>
      <c r="I5" s="812"/>
      <c r="J5" s="801"/>
      <c r="K5" s="801"/>
      <c r="L5" s="1175"/>
      <c r="M5" s="1174"/>
      <c r="N5" s="1174"/>
      <c r="O5" s="1174"/>
    </row>
    <row r="6" spans="1:15" ht="15">
      <c r="A6" s="1176"/>
      <c r="B6" s="1054"/>
      <c r="C6" s="1054"/>
      <c r="D6" s="1054"/>
      <c r="E6" s="1054"/>
      <c r="F6" s="812"/>
      <c r="G6" s="812"/>
      <c r="H6" s="812"/>
      <c r="I6" s="812"/>
      <c r="J6" s="812"/>
      <c r="K6" s="812"/>
      <c r="L6" s="1175"/>
      <c r="M6" s="812"/>
      <c r="N6" s="812"/>
      <c r="O6" s="812"/>
    </row>
    <row r="7" spans="1:15" ht="14.25">
      <c r="A7" s="826"/>
      <c r="B7" s="1177"/>
      <c r="C7" s="1177"/>
      <c r="D7" s="1178"/>
      <c r="E7" s="1054"/>
      <c r="F7" s="801" t="s">
        <v>620</v>
      </c>
      <c r="G7" s="812"/>
      <c r="J7" s="812"/>
      <c r="K7" s="812"/>
      <c r="L7" s="812"/>
      <c r="M7" s="801"/>
      <c r="N7" s="801"/>
      <c r="O7" s="801"/>
    </row>
    <row r="8" spans="1:15" ht="15">
      <c r="A8" s="1176" t="s">
        <v>621</v>
      </c>
      <c r="B8" s="1054"/>
      <c r="C8" s="1054"/>
      <c r="D8" s="1053"/>
      <c r="E8" s="1054"/>
      <c r="F8" s="812" t="s">
        <v>622</v>
      </c>
      <c r="G8" s="812"/>
      <c r="J8" s="812"/>
      <c r="K8" s="812"/>
      <c r="L8" s="812"/>
      <c r="M8" s="801"/>
      <c r="N8" s="801"/>
      <c r="O8" s="801"/>
    </row>
    <row r="9" spans="1:15" ht="14.25">
      <c r="A9" s="1054" t="s">
        <v>623</v>
      </c>
      <c r="B9" s="1054"/>
      <c r="C9" s="1054"/>
      <c r="D9" s="1053">
        <f>'HO-Unit &amp; Income'!C90</f>
        <v>0</v>
      </c>
      <c r="E9" s="826"/>
      <c r="F9" s="812"/>
      <c r="G9" s="812"/>
      <c r="J9" s="812"/>
      <c r="K9" s="812"/>
      <c r="L9" s="812"/>
      <c r="M9" s="801"/>
      <c r="N9" s="801"/>
      <c r="O9" s="801"/>
    </row>
    <row r="10" spans="1:15" ht="14.25">
      <c r="A10" s="1054" t="s">
        <v>624</v>
      </c>
      <c r="B10" s="1179">
        <v>0</v>
      </c>
      <c r="C10" s="1180"/>
      <c r="D10" s="1053">
        <f>B10*-D9</f>
        <v>0</v>
      </c>
      <c r="E10" s="826"/>
      <c r="F10" s="812" t="s">
        <v>625</v>
      </c>
      <c r="G10" s="812"/>
      <c r="J10" s="812"/>
      <c r="K10" s="812"/>
      <c r="L10" s="1181"/>
      <c r="M10" s="830"/>
      <c r="N10" s="801"/>
      <c r="O10" s="801"/>
    </row>
    <row r="11" spans="1:15" ht="15">
      <c r="A11" s="826" t="s">
        <v>32</v>
      </c>
      <c r="B11" s="1182"/>
      <c r="C11" s="1178"/>
      <c r="D11" s="1053">
        <f>D9+D10</f>
        <v>0</v>
      </c>
      <c r="E11" s="826"/>
      <c r="F11" s="812" t="s">
        <v>626</v>
      </c>
      <c r="G11" s="812"/>
      <c r="J11" s="812"/>
      <c r="K11" s="812"/>
      <c r="L11" s="1183"/>
      <c r="M11" s="1184"/>
      <c r="N11" s="801"/>
      <c r="O11" s="801"/>
    </row>
    <row r="12" spans="5:15" ht="15">
      <c r="E12" s="826"/>
      <c r="F12" s="812" t="s">
        <v>291</v>
      </c>
      <c r="G12" s="812"/>
      <c r="J12" s="812"/>
      <c r="K12" s="812"/>
      <c r="L12" s="1183"/>
      <c r="M12" s="1184"/>
      <c r="N12" s="801"/>
      <c r="O12" s="801"/>
    </row>
    <row r="13" spans="1:15" ht="15">
      <c r="A13" s="1054" t="s">
        <v>627</v>
      </c>
      <c r="B13" s="1180"/>
      <c r="C13" s="1180"/>
      <c r="D13" s="1053">
        <f>'HO-Unit &amp; Income'!D28</f>
        <v>0</v>
      </c>
      <c r="E13" s="826"/>
      <c r="F13" s="1185" t="s">
        <v>33</v>
      </c>
      <c r="G13" s="801"/>
      <c r="J13" s="801"/>
      <c r="K13" s="801"/>
      <c r="L13" s="1183"/>
      <c r="M13" s="1184"/>
      <c r="N13" s="801"/>
      <c r="O13" s="801"/>
    </row>
    <row r="14" spans="1:15" ht="15">
      <c r="A14" s="1054" t="s">
        <v>160</v>
      </c>
      <c r="B14" s="1180"/>
      <c r="C14" s="1180"/>
      <c r="D14" s="1053">
        <f>'HO-Unit &amp; Income'!D32</f>
        <v>0</v>
      </c>
      <c r="E14" s="826"/>
      <c r="F14" s="812" t="s">
        <v>34</v>
      </c>
      <c r="G14" s="812"/>
      <c r="J14" s="812"/>
      <c r="K14" s="812"/>
      <c r="L14" s="813">
        <f>SUM(L11:L13)</f>
        <v>0</v>
      </c>
      <c r="M14" s="1184"/>
      <c r="N14" s="801"/>
      <c r="O14" s="801"/>
    </row>
    <row r="15" spans="1:15" ht="15">
      <c r="A15" s="802" t="s">
        <v>106</v>
      </c>
      <c r="D15" s="1053">
        <f>'HO-Unit &amp; Income'!D36</f>
        <v>0</v>
      </c>
      <c r="E15" s="826"/>
      <c r="F15" s="812"/>
      <c r="G15" s="812"/>
      <c r="J15" s="812"/>
      <c r="K15" s="812"/>
      <c r="L15" s="1186"/>
      <c r="M15" s="801"/>
      <c r="N15" s="801"/>
      <c r="O15" s="801"/>
    </row>
    <row r="16" spans="1:13" ht="14.25">
      <c r="A16" s="1054" t="s">
        <v>628</v>
      </c>
      <c r="B16" s="1180"/>
      <c r="C16" s="1180"/>
      <c r="D16" s="1053">
        <f>LAUNDRY_HO</f>
        <v>0</v>
      </c>
      <c r="E16" s="826"/>
      <c r="F16" s="812"/>
      <c r="G16" s="812"/>
      <c r="J16" s="813"/>
      <c r="K16" s="813"/>
      <c r="L16" s="812"/>
      <c r="M16" s="801"/>
    </row>
    <row r="17" spans="1:13" ht="14.25">
      <c r="A17" s="1054" t="s">
        <v>629</v>
      </c>
      <c r="B17" s="1179">
        <v>0</v>
      </c>
      <c r="C17" s="1180"/>
      <c r="D17" s="1053">
        <f>B17*D13</f>
        <v>0</v>
      </c>
      <c r="E17" s="826"/>
      <c r="F17" s="801" t="s">
        <v>630</v>
      </c>
      <c r="G17" s="801"/>
      <c r="J17" s="801"/>
      <c r="L17" s="1187">
        <f>-PV(L14/12,L10*12,(D31-J36-K36)/12)</f>
        <v>0</v>
      </c>
      <c r="M17" s="1188"/>
    </row>
    <row r="18" spans="1:12" ht="14.25">
      <c r="A18" s="1054" t="s">
        <v>631</v>
      </c>
      <c r="B18" s="1179"/>
      <c r="C18" s="1180"/>
      <c r="D18" s="1053">
        <f>B18*D14</f>
        <v>0</v>
      </c>
      <c r="E18" s="826"/>
      <c r="F18" s="801" t="s">
        <v>632</v>
      </c>
      <c r="G18" s="801"/>
      <c r="J18" s="801"/>
      <c r="K18" s="1187"/>
      <c r="L18" s="1187">
        <f>-PV(L14/12,L10*12,(D32-J36-K36)/12)</f>
        <v>0</v>
      </c>
    </row>
    <row r="19" spans="1:12" ht="14.25">
      <c r="A19" s="1054" t="s">
        <v>633</v>
      </c>
      <c r="B19" s="1179"/>
      <c r="C19" s="1180"/>
      <c r="D19" s="1053">
        <f>B19*D15</f>
        <v>0</v>
      </c>
      <c r="E19" s="826"/>
      <c r="F19" s="801"/>
      <c r="G19" s="801"/>
      <c r="J19" s="801"/>
      <c r="K19" s="1187"/>
      <c r="L19" s="1187"/>
    </row>
    <row r="20" spans="1:12" ht="14.25">
      <c r="A20" s="1054" t="s">
        <v>634</v>
      </c>
      <c r="B20" s="1189"/>
      <c r="D20" s="1053">
        <f>B20*D16</f>
        <v>0</v>
      </c>
      <c r="E20" s="826"/>
      <c r="F20" s="801" t="s">
        <v>635</v>
      </c>
      <c r="G20" s="801"/>
      <c r="J20" s="801"/>
      <c r="K20" s="1187"/>
      <c r="L20" s="1187">
        <f>ROUND(MIN(L17,L18),-4)</f>
        <v>0</v>
      </c>
    </row>
    <row r="21" spans="5:14" ht="14.25">
      <c r="E21" s="826"/>
      <c r="F21" s="801" t="s">
        <v>636</v>
      </c>
      <c r="G21" s="801"/>
      <c r="J21" s="801"/>
      <c r="K21" s="801"/>
      <c r="L21" s="1190">
        <f>J30</f>
        <v>0</v>
      </c>
      <c r="M21" s="1191"/>
      <c r="N21" s="801"/>
    </row>
    <row r="22" spans="1:12" ht="14.25">
      <c r="A22" s="1054" t="s">
        <v>637</v>
      </c>
      <c r="B22" s="1178"/>
      <c r="C22" s="1178"/>
      <c r="D22" s="1053">
        <f>ERI_HO+D14+D15+D16-D17-D18-D19</f>
        <v>0</v>
      </c>
      <c r="E22" s="826"/>
      <c r="F22" s="801" t="s">
        <v>638</v>
      </c>
      <c r="G22" s="801"/>
      <c r="J22" s="801"/>
      <c r="K22" s="801"/>
      <c r="L22" s="808">
        <f>L20+L21</f>
        <v>0</v>
      </c>
    </row>
    <row r="23" spans="1:13" ht="14.25">
      <c r="A23" s="1054"/>
      <c r="B23" s="1178"/>
      <c r="C23" s="1178"/>
      <c r="D23" s="1053"/>
      <c r="E23" s="826"/>
      <c r="F23" s="801"/>
      <c r="G23" s="801"/>
      <c r="J23" s="801"/>
      <c r="K23" s="801"/>
      <c r="L23" s="808"/>
      <c r="M23" s="801"/>
    </row>
    <row r="24" spans="1:13" ht="14.25">
      <c r="A24" s="1054"/>
      <c r="B24" s="1178"/>
      <c r="C24" s="1178"/>
      <c r="D24" s="1053"/>
      <c r="E24" s="826"/>
      <c r="F24" s="801" t="s">
        <v>639</v>
      </c>
      <c r="G24" s="801"/>
      <c r="J24" s="801"/>
      <c r="K24" s="801"/>
      <c r="L24" s="1192">
        <v>0.01</v>
      </c>
      <c r="M24" s="801"/>
    </row>
    <row r="25" spans="1:13" ht="14.25">
      <c r="A25" s="1054" t="s">
        <v>40</v>
      </c>
      <c r="B25" s="1193" t="e">
        <f>D25/UNITS_HO</f>
        <v>#DIV/0!</v>
      </c>
      <c r="C25" s="1053" t="s">
        <v>19</v>
      </c>
      <c r="D25" s="1053">
        <f>D28-D27-D26</f>
        <v>0</v>
      </c>
      <c r="E25" s="826"/>
      <c r="F25" s="801" t="s">
        <v>640</v>
      </c>
      <c r="G25" s="801"/>
      <c r="H25" s="801"/>
      <c r="K25" s="801"/>
      <c r="L25" s="813">
        <f>IF(J33&lt;0,1%,L24+J33%)</f>
        <v>0.01</v>
      </c>
      <c r="M25" s="801"/>
    </row>
    <row r="26" spans="1:13" ht="15">
      <c r="A26" s="1054" t="s">
        <v>41</v>
      </c>
      <c r="B26" s="1193" t="e">
        <f>D26/UNITS_HO</f>
        <v>#DIV/0!</v>
      </c>
      <c r="C26" s="1053" t="s">
        <v>19</v>
      </c>
      <c r="D26" s="1053">
        <f>'HO-M &amp; O'!C31</f>
        <v>0</v>
      </c>
      <c r="E26" s="826"/>
      <c r="F26" s="801"/>
      <c r="G26" s="801"/>
      <c r="H26" s="801"/>
      <c r="I26"/>
      <c r="J26"/>
      <c r="K26" s="1185"/>
      <c r="L26" s="813"/>
      <c r="M26" s="801"/>
    </row>
    <row r="27" spans="1:13" ht="14.25">
      <c r="A27" s="1054" t="s">
        <v>43</v>
      </c>
      <c r="B27" s="1193" t="e">
        <f>D27/UNITS_HO</f>
        <v>#DIV/0!</v>
      </c>
      <c r="C27" s="1054" t="s">
        <v>19</v>
      </c>
      <c r="D27" s="1053">
        <f>'HO-M &amp; O'!C30</f>
        <v>0</v>
      </c>
      <c r="E27" s="826"/>
      <c r="I27" s="1194"/>
      <c r="J27" s="1195" t="s">
        <v>641</v>
      </c>
      <c r="K27" s="1196" t="s">
        <v>641</v>
      </c>
      <c r="M27" s="801"/>
    </row>
    <row r="28" spans="1:13" ht="14.25">
      <c r="A28" s="1054" t="s">
        <v>30</v>
      </c>
      <c r="B28" s="1193" t="e">
        <f>D28/UNITS_HO</f>
        <v>#DIV/0!</v>
      </c>
      <c r="C28" s="1054" t="s">
        <v>19</v>
      </c>
      <c r="D28" s="1053">
        <f>'HO-M &amp; O'!C34</f>
        <v>0</v>
      </c>
      <c r="E28" s="826"/>
      <c r="G28" s="801"/>
      <c r="H28" s="801"/>
      <c r="I28" s="1197"/>
      <c r="J28" s="1198"/>
      <c r="K28" s="1199"/>
      <c r="M28" s="801"/>
    </row>
    <row r="29" spans="1:13" ht="14.25">
      <c r="A29" s="1054"/>
      <c r="B29" s="1054"/>
      <c r="C29" s="1054"/>
      <c r="D29" s="1053"/>
      <c r="E29" s="826"/>
      <c r="G29" s="801"/>
      <c r="H29" s="801"/>
      <c r="I29" s="1200" t="s">
        <v>642</v>
      </c>
      <c r="J29" s="1201" t="s">
        <v>293</v>
      </c>
      <c r="K29" s="1202" t="s">
        <v>238</v>
      </c>
      <c r="L29" s="835" t="s">
        <v>0</v>
      </c>
      <c r="M29" s="801"/>
    </row>
    <row r="30" spans="1:13" ht="14.25">
      <c r="A30" s="1054" t="s">
        <v>44</v>
      </c>
      <c r="B30" s="1054"/>
      <c r="C30" s="1054"/>
      <c r="D30" s="1053">
        <f>D22-D28</f>
        <v>0</v>
      </c>
      <c r="E30" s="826"/>
      <c r="G30" s="801"/>
      <c r="H30" s="801"/>
      <c r="I30" s="1203"/>
      <c r="J30" s="1204">
        <f>J28*(UNITS_HO-SUM('HO-Unit &amp; Income'!F85:F88))</f>
        <v>0</v>
      </c>
      <c r="K30" s="1205">
        <f>K28*(UNITS_HO-SUM('HO-Unit &amp; Income'!F85:F88))</f>
        <v>0</v>
      </c>
      <c r="L30" s="807">
        <f>I30+J30+K30</f>
        <v>0</v>
      </c>
      <c r="M30" s="801"/>
    </row>
    <row r="31" spans="1:13" ht="14.25">
      <c r="A31" s="1054" t="s">
        <v>643</v>
      </c>
      <c r="B31" s="1054"/>
      <c r="C31" s="1054"/>
      <c r="D31" s="1053">
        <f>NOI_HO/1.05</f>
        <v>0</v>
      </c>
      <c r="E31" s="1054"/>
      <c r="G31" s="801"/>
      <c r="H31" s="835"/>
      <c r="I31" s="1206"/>
      <c r="J31" s="1207"/>
      <c r="K31" s="1208"/>
      <c r="L31" s="808"/>
      <c r="M31" s="801"/>
    </row>
    <row r="32" spans="1:13" ht="14.25">
      <c r="A32" s="1054" t="s">
        <v>644</v>
      </c>
      <c r="B32" s="1180"/>
      <c r="C32" s="1180"/>
      <c r="D32" s="1053">
        <f>(D22/1)-D28</f>
        <v>0</v>
      </c>
      <c r="E32" s="826"/>
      <c r="G32" s="837"/>
      <c r="H32" s="1209"/>
      <c r="I32" s="1210"/>
      <c r="J32" s="1210"/>
      <c r="K32" s="1211"/>
      <c r="L32" s="1212"/>
      <c r="M32" s="801"/>
    </row>
    <row r="33" spans="5:13" ht="14.25">
      <c r="E33" s="826"/>
      <c r="G33" s="1213"/>
      <c r="H33" s="1213"/>
      <c r="I33" s="1214"/>
      <c r="J33" s="1215"/>
      <c r="K33" s="1216"/>
      <c r="L33" s="1217"/>
      <c r="M33" s="801"/>
    </row>
    <row r="34" spans="1:13" ht="15">
      <c r="A34" s="1054" t="s">
        <v>645</v>
      </c>
      <c r="B34" s="1180"/>
      <c r="C34" s="1180"/>
      <c r="D34" s="1218" t="e">
        <f>D22/(D28+L36)</f>
        <v>#DIV/0!</v>
      </c>
      <c r="E34" s="826"/>
      <c r="G34" s="1219" t="s">
        <v>174</v>
      </c>
      <c r="H34" s="1219" t="s">
        <v>646</v>
      </c>
      <c r="I34" s="1220">
        <f>I30-I35</f>
        <v>0</v>
      </c>
      <c r="J34" s="1220">
        <f>J30-J35</f>
        <v>0</v>
      </c>
      <c r="K34" s="1221">
        <v>0</v>
      </c>
      <c r="L34" s="1222"/>
      <c r="M34" s="1187"/>
    </row>
    <row r="35" spans="1:13" ht="14.25">
      <c r="A35" s="826"/>
      <c r="B35" s="826"/>
      <c r="C35" s="826"/>
      <c r="E35" s="826"/>
      <c r="G35" s="1219">
        <v>30</v>
      </c>
      <c r="H35" s="1219" t="s">
        <v>45</v>
      </c>
      <c r="I35" s="1220">
        <f>-FV(L14/12,G35*12,-(I36/12),I30)</f>
        <v>0</v>
      </c>
      <c r="J35" s="1220">
        <f>-FV(L24/12,30*12,-(J36/12),J30)</f>
        <v>0</v>
      </c>
      <c r="K35" s="1223">
        <f>FV(M24/12,H35*12,K36/12,-K30)</f>
        <v>0</v>
      </c>
      <c r="L35" s="1224"/>
      <c r="M35" s="801"/>
    </row>
    <row r="36" spans="1:13" ht="14.25">
      <c r="A36" s="826"/>
      <c r="B36" s="826"/>
      <c r="C36" s="826"/>
      <c r="D36" s="1053"/>
      <c r="E36" s="826"/>
      <c r="G36" s="1225"/>
      <c r="H36" s="1219" t="s">
        <v>47</v>
      </c>
      <c r="I36" s="1220">
        <f>-PMT(L14/12,30*12,I30)*12</f>
        <v>0</v>
      </c>
      <c r="J36" s="1226">
        <f>J30*L25</f>
        <v>0</v>
      </c>
      <c r="K36" s="1227">
        <f>1%*K30</f>
        <v>0</v>
      </c>
      <c r="L36" s="1228">
        <f>J36+I36+K36</f>
        <v>0</v>
      </c>
      <c r="M36" s="812"/>
    </row>
    <row r="37" spans="1:13" ht="14.25">
      <c r="A37" s="826"/>
      <c r="B37" s="826"/>
      <c r="C37" s="826"/>
      <c r="D37" s="1053"/>
      <c r="E37" s="826"/>
      <c r="G37" s="1219"/>
      <c r="H37" s="1225" t="s">
        <v>173</v>
      </c>
      <c r="I37" s="1229" t="e">
        <f>NOI_HO/I36</f>
        <v>#DIV/0!</v>
      </c>
      <c r="J37" s="1230" t="e">
        <f>J36/J35</f>
        <v>#DIV/0!</v>
      </c>
      <c r="K37" s="1231"/>
      <c r="L37" s="1232" t="e">
        <f>NOI_HO/L36</f>
        <v>#DIV/0!</v>
      </c>
      <c r="M37" s="1233" t="e">
        <f>D34</f>
        <v>#DIV/0!</v>
      </c>
    </row>
    <row r="38" spans="1:15" ht="14.25">
      <c r="A38" s="826"/>
      <c r="B38" s="826"/>
      <c r="C38" s="826"/>
      <c r="D38" s="1053"/>
      <c r="E38" s="826"/>
      <c r="G38" s="1234"/>
      <c r="H38" s="1235"/>
      <c r="I38" s="1236"/>
      <c r="J38" s="1236"/>
      <c r="K38" s="1237"/>
      <c r="L38" s="1238"/>
      <c r="M38" s="1239"/>
      <c r="N38" s="801"/>
      <c r="O38" s="801"/>
    </row>
    <row r="39" spans="1:15" ht="14.25">
      <c r="A39" s="801"/>
      <c r="B39" s="801"/>
      <c r="C39" s="801"/>
      <c r="D39" s="808"/>
      <c r="E39" s="801"/>
      <c r="M39" s="1240"/>
      <c r="N39" s="801"/>
      <c r="O39" s="808"/>
    </row>
    <row r="40" spans="1:15" ht="14.25">
      <c r="A40" s="801"/>
      <c r="B40" s="801"/>
      <c r="C40" s="801"/>
      <c r="D40" s="1233"/>
      <c r="E40" s="801"/>
      <c r="F40" s="885"/>
      <c r="M40" s="808"/>
      <c r="N40" s="801"/>
      <c r="O40" s="808"/>
    </row>
    <row r="41" spans="1:15" ht="14.25">
      <c r="A41" s="801"/>
      <c r="B41" s="801"/>
      <c r="C41" s="801"/>
      <c r="D41" s="801"/>
      <c r="E41" s="801"/>
      <c r="F41" s="882"/>
      <c r="M41" s="1241"/>
      <c r="N41" s="801"/>
      <c r="O41" s="808"/>
    </row>
    <row r="42" spans="1:15" ht="14.25">
      <c r="A42" s="801"/>
      <c r="B42" s="801"/>
      <c r="C42" s="801"/>
      <c r="D42" s="801"/>
      <c r="E42" s="801"/>
      <c r="G42" s="1242"/>
      <c r="H42" s="1243"/>
      <c r="I42" s="1243"/>
      <c r="M42" s="813"/>
      <c r="N42" s="801"/>
      <c r="O42" s="808"/>
    </row>
    <row r="43" spans="1:15" ht="14.25">
      <c r="A43" s="1244"/>
      <c r="B43" s="801"/>
      <c r="C43" s="801"/>
      <c r="D43" s="801"/>
      <c r="E43" s="1244"/>
      <c r="I43" s="1245"/>
      <c r="M43" s="801"/>
      <c r="N43" s="801"/>
      <c r="O43" s="808"/>
    </row>
    <row r="45" spans="6:13" ht="18">
      <c r="F45" s="1246"/>
      <c r="G45" s="1246"/>
      <c r="H45" s="1246"/>
      <c r="I45" s="1246"/>
      <c r="J45" s="1246"/>
      <c r="K45" s="1246"/>
      <c r="L45" s="1246"/>
      <c r="M45" s="1246"/>
    </row>
    <row r="46" spans="6:13" ht="15">
      <c r="F46"/>
      <c r="G46"/>
      <c r="H46"/>
      <c r="I46"/>
      <c r="J46"/>
      <c r="K46"/>
      <c r="L46"/>
      <c r="M46"/>
    </row>
    <row r="47" spans="6:13" ht="15">
      <c r="F47"/>
      <c r="G47"/>
      <c r="H47"/>
      <c r="I47"/>
      <c r="J47"/>
      <c r="K47"/>
      <c r="L47"/>
      <c r="M47"/>
    </row>
    <row r="48" spans="6:13" ht="18">
      <c r="F48" s="1247"/>
      <c r="G48" s="1247"/>
      <c r="H48" s="1248"/>
      <c r="I48" s="1248"/>
      <c r="J48" s="1247"/>
      <c r="K48" s="1247"/>
      <c r="L48" s="1247"/>
      <c r="M48" s="1247"/>
    </row>
    <row r="49" spans="6:13" ht="15">
      <c r="F49" s="548"/>
      <c r="G49" s="1249"/>
      <c r="H49" s="1249"/>
      <c r="I49" s="1249"/>
      <c r="J49"/>
      <c r="K49"/>
      <c r="L49" s="1250"/>
      <c r="M49"/>
    </row>
    <row r="50" spans="6:13" ht="15">
      <c r="F50" s="1251"/>
      <c r="G50" s="1249"/>
      <c r="H50" s="1249"/>
      <c r="I50" s="1249"/>
      <c r="J50"/>
      <c r="K50"/>
      <c r="L50"/>
      <c r="M50"/>
    </row>
    <row r="51" spans="6:13" ht="15">
      <c r="F51" s="1252"/>
      <c r="G51"/>
      <c r="H51" s="1249"/>
      <c r="I51" s="1249"/>
      <c r="J51"/>
      <c r="K51"/>
      <c r="L51"/>
      <c r="M51" s="1249"/>
    </row>
    <row r="52" spans="6:13" ht="15">
      <c r="F52"/>
      <c r="G52"/>
      <c r="H52" s="1249"/>
      <c r="I52" s="1249"/>
      <c r="J52"/>
      <c r="K52"/>
      <c r="L52"/>
      <c r="M52"/>
    </row>
    <row r="53" spans="6:13" ht="15">
      <c r="F53"/>
      <c r="G53"/>
      <c r="H53" s="1250"/>
      <c r="I53" s="1250"/>
      <c r="J53"/>
      <c r="K53"/>
      <c r="L53"/>
      <c r="M53"/>
    </row>
    <row r="54" spans="8:9" ht="14.25">
      <c r="H54" s="1188"/>
      <c r="I54" s="1188"/>
    </row>
  </sheetData>
  <sheetProtection/>
  <printOptions/>
  <pageMargins left="0.5" right="0.5" top="0.5" bottom="0.5" header="0.5" footer="0.5"/>
  <pageSetup fitToHeight="1" fitToWidth="1" horizontalDpi="600" verticalDpi="60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0"/>
  <sheetViews>
    <sheetView defaultGridColor="0" zoomScale="75" zoomScaleNormal="75" zoomScaleSheetLayoutView="75" zoomScalePageLayoutView="0" colorId="22" workbookViewId="0" topLeftCell="A1">
      <selection activeCell="A45" sqref="A45"/>
    </sheetView>
  </sheetViews>
  <sheetFormatPr defaultColWidth="9.77734375" defaultRowHeight="15"/>
  <cols>
    <col min="1" max="1" width="41.5546875" style="44" customWidth="1"/>
    <col min="2" max="2" width="15.88671875" style="44" customWidth="1"/>
    <col min="3" max="3" width="13.99609375" style="58" customWidth="1"/>
    <col min="4" max="4" width="10.77734375" style="60" customWidth="1"/>
    <col min="5" max="16384" width="9.77734375" style="44" customWidth="1"/>
  </cols>
  <sheetData>
    <row r="1" spans="1:8" ht="15.75">
      <c r="A1" s="468" t="s">
        <v>662</v>
      </c>
      <c r="B1" s="50"/>
      <c r="C1" s="428"/>
      <c r="D1" s="203"/>
      <c r="E1" s="18"/>
      <c r="F1" s="18"/>
      <c r="G1" s="18"/>
      <c r="H1" s="18"/>
    </row>
    <row r="2" spans="1:8" ht="15.75">
      <c r="A2" s="427" t="s">
        <v>388</v>
      </c>
      <c r="B2" s="18"/>
      <c r="C2" s="469" t="s">
        <v>232</v>
      </c>
      <c r="D2" s="703">
        <f>'1. Units &amp; Income'!I2</f>
        <v>0</v>
      </c>
      <c r="E2" s="18"/>
      <c r="F2" s="18"/>
      <c r="G2" s="18"/>
      <c r="H2" s="18"/>
    </row>
    <row r="3" spans="1:8" ht="23.25">
      <c r="A3" s="8"/>
      <c r="B3" s="50"/>
      <c r="C3" s="61"/>
      <c r="D3" s="59"/>
      <c r="E3" s="18"/>
      <c r="F3" s="18"/>
      <c r="G3" s="18"/>
      <c r="H3" s="18"/>
    </row>
    <row r="4" spans="1:8" ht="15.75">
      <c r="A4" s="25" t="s">
        <v>8</v>
      </c>
      <c r="B4" s="18"/>
      <c r="C4" s="62"/>
      <c r="D4" s="52"/>
      <c r="E4" s="12"/>
      <c r="H4" s="18"/>
    </row>
    <row r="5" spans="1:8" ht="16.5" thickBot="1">
      <c r="A5" s="238"/>
      <c r="B5" s="239"/>
      <c r="C5" s="240"/>
      <c r="D5" s="241"/>
      <c r="E5" s="12"/>
      <c r="F5" s="12"/>
      <c r="G5" s="12"/>
      <c r="H5" s="18"/>
    </row>
    <row r="6" spans="1:8" ht="16.5" thickTop="1">
      <c r="A6" s="249" t="s">
        <v>81</v>
      </c>
      <c r="B6" s="18"/>
      <c r="C6" s="64" t="s">
        <v>124</v>
      </c>
      <c r="D6" s="252" t="s">
        <v>125</v>
      </c>
      <c r="E6" s="12"/>
      <c r="F6" s="12"/>
      <c r="G6" s="21"/>
      <c r="H6" s="18"/>
    </row>
    <row r="7" spans="1:8" ht="15">
      <c r="A7" s="453" t="str">
        <f>'1. Devel. Bud'!A85</f>
        <v>HDC Bond First Mortgage </v>
      </c>
      <c r="B7" s="21">
        <f>'1. Devel. Bud'!D85</f>
        <v>0</v>
      </c>
      <c r="C7" s="63" t="e">
        <f>B7/'1. Units &amp; Income'!$B$24</f>
        <v>#DIV/0!</v>
      </c>
      <c r="D7" s="39" t="e">
        <f>B7/$B$15</f>
        <v>#DIV/0!</v>
      </c>
      <c r="E7" s="53" t="s">
        <v>119</v>
      </c>
      <c r="F7" s="12"/>
      <c r="G7" s="17"/>
      <c r="H7" s="18"/>
    </row>
    <row r="8" spans="1:8" ht="15">
      <c r="A8" s="453" t="str">
        <f>'1. Devel. Bud'!A86</f>
        <v>HDC Second Mortgage</v>
      </c>
      <c r="B8" s="21">
        <f>'1. Devel. Bud'!D86</f>
        <v>0</v>
      </c>
      <c r="C8" s="63" t="e">
        <f>B8/'1. Units &amp; Income'!$B$24</f>
        <v>#DIV/0!</v>
      </c>
      <c r="D8" s="39" t="e">
        <f>B8/$B$15</f>
        <v>#DIV/0!</v>
      </c>
      <c r="E8" s="12"/>
      <c r="F8" s="12"/>
      <c r="G8" s="17"/>
      <c r="H8" s="18"/>
    </row>
    <row r="9" spans="1:8" ht="15">
      <c r="A9" s="453" t="str">
        <f>'1. Devel. Bud'!A87</f>
        <v>HPD Subsidy Third Mortgage</v>
      </c>
      <c r="B9" s="21">
        <f>'1. Devel. Bud'!D87</f>
        <v>0</v>
      </c>
      <c r="C9" s="63" t="e">
        <f>B9/'1. Units &amp; Income'!$B$24</f>
        <v>#DIV/0!</v>
      </c>
      <c r="D9" s="39" t="e">
        <f>B9/$B$15</f>
        <v>#DIV/0!</v>
      </c>
      <c r="E9" s="12"/>
      <c r="F9" s="12"/>
      <c r="G9" s="17"/>
      <c r="H9" s="18"/>
    </row>
    <row r="10" spans="1:8" ht="15">
      <c r="A10" s="453" t="str">
        <f>'1. Devel. Bud'!A88</f>
        <v>Fourth Mortgage (Lender:                                )</v>
      </c>
      <c r="B10" s="21">
        <f>'1. Devel. Bud'!D88</f>
        <v>0</v>
      </c>
      <c r="C10" s="63" t="e">
        <f>B10/'1. Units &amp; Income'!$B$24</f>
        <v>#DIV/0!</v>
      </c>
      <c r="D10" s="39" t="e">
        <f>B10/$B$15</f>
        <v>#DIV/0!</v>
      </c>
      <c r="E10" s="12"/>
      <c r="F10" s="12"/>
      <c r="G10" s="17"/>
      <c r="H10" s="18"/>
    </row>
    <row r="11" spans="1:8" ht="15">
      <c r="A11" s="534" t="str">
        <f>'1. Devel. Bud'!A89</f>
        <v>Developer Equity</v>
      </c>
      <c r="B11" s="190">
        <f>'1. Devel. Bud'!D89</f>
        <v>0</v>
      </c>
      <c r="C11" s="63" t="e">
        <f>B11/'1. Units &amp; Income'!$B$24</f>
        <v>#DIV/0!</v>
      </c>
      <c r="D11" s="39" t="e">
        <f>B11/$B$15</f>
        <v>#DIV/0!</v>
      </c>
      <c r="E11" s="12"/>
      <c r="F11" s="12"/>
      <c r="G11" s="17"/>
      <c r="H11" s="18"/>
    </row>
    <row r="12" spans="1:8" ht="15">
      <c r="A12" s="534" t="str">
        <f>'1. Devel. Bud'!A90</f>
        <v>Deferred Developer's Fee</v>
      </c>
      <c r="B12" s="190">
        <f>'1. Devel. Bud'!D90</f>
        <v>0</v>
      </c>
      <c r="C12" s="63"/>
      <c r="D12" s="39"/>
      <c r="E12" s="12"/>
      <c r="F12" s="12"/>
      <c r="G12" s="17"/>
      <c r="H12" s="18"/>
    </row>
    <row r="13" spans="1:8" ht="15">
      <c r="A13" s="534" t="str">
        <f>'1. Devel. Bud'!A91</f>
        <v>Other source (Specify:                                )</v>
      </c>
      <c r="B13" s="190">
        <f>'1. Devel. Bud'!D91</f>
        <v>0</v>
      </c>
      <c r="C13" s="63"/>
      <c r="D13" s="39"/>
      <c r="E13" s="12"/>
      <c r="F13" s="12"/>
      <c r="G13" s="17"/>
      <c r="H13" s="18"/>
    </row>
    <row r="14" spans="1:8" ht="15">
      <c r="A14" s="169"/>
      <c r="B14" s="433"/>
      <c r="C14" s="63"/>
      <c r="D14" s="39"/>
      <c r="E14" s="18"/>
      <c r="F14" s="22"/>
      <c r="G14" s="17"/>
      <c r="H14" s="54"/>
    </row>
    <row r="15" spans="1:8" ht="15">
      <c r="A15" s="66" t="s">
        <v>9</v>
      </c>
      <c r="B15" s="245">
        <f>SUM(B7:B13)</f>
        <v>0</v>
      </c>
      <c r="C15" s="590" t="e">
        <f>B15/'1. Units &amp; Income'!$B$24</f>
        <v>#DIV/0!</v>
      </c>
      <c r="D15" s="248" t="e">
        <f>SUM(D7:D13)</f>
        <v>#DIV/0!</v>
      </c>
      <c r="E15" s="12"/>
      <c r="F15" s="55"/>
      <c r="G15" s="17"/>
      <c r="H15" s="18"/>
    </row>
    <row r="16" spans="1:8" ht="15.75" thickBot="1">
      <c r="A16" s="239"/>
      <c r="B16" s="242"/>
      <c r="C16" s="243"/>
      <c r="D16" s="244"/>
      <c r="E16" s="12"/>
      <c r="F16" s="12"/>
      <c r="G16" s="12"/>
      <c r="H16" s="18"/>
    </row>
    <row r="17" spans="1:8" ht="16.5" thickTop="1">
      <c r="A17" s="249" t="s">
        <v>76</v>
      </c>
      <c r="B17" s="171"/>
      <c r="C17" s="63"/>
      <c r="D17" s="247"/>
      <c r="E17" s="12"/>
      <c r="F17" s="12"/>
      <c r="G17" s="21"/>
      <c r="H17" s="18"/>
    </row>
    <row r="18" spans="1:8" ht="15">
      <c r="A18" s="453" t="str">
        <f aca="true" t="shared" si="0" ref="A18:A24">A7</f>
        <v>HDC Bond First Mortgage </v>
      </c>
      <c r="B18" s="185" t="e">
        <f>'1. Devel. Bud'!D95</f>
        <v>#DIV/0!</v>
      </c>
      <c r="C18" s="63" t="e">
        <f>B18/'1. Units &amp; Income'!$B$24</f>
        <v>#DIV/0!</v>
      </c>
      <c r="D18" s="39" t="e">
        <f>B18/B26</f>
        <v>#DIV/0!</v>
      </c>
      <c r="E18" s="12"/>
      <c r="F18" s="12"/>
      <c r="G18" s="17"/>
      <c r="H18" s="18"/>
    </row>
    <row r="19" spans="1:8" ht="15">
      <c r="A19" s="453" t="str">
        <f t="shared" si="0"/>
        <v>HDC Second Mortgage</v>
      </c>
      <c r="B19" s="190">
        <f>'1. Devel. Bud'!D96</f>
        <v>0</v>
      </c>
      <c r="C19" s="63" t="e">
        <f>B19/'1. Units &amp; Income'!$B$24</f>
        <v>#DIV/0!</v>
      </c>
      <c r="D19" s="39" t="e">
        <f>B19/$B$26</f>
        <v>#DIV/0!</v>
      </c>
      <c r="E19" s="12"/>
      <c r="F19" s="12"/>
      <c r="G19" s="17"/>
      <c r="H19" s="18"/>
    </row>
    <row r="20" spans="1:8" ht="15">
      <c r="A20" s="453" t="str">
        <f t="shared" si="0"/>
        <v>HPD Subsidy Third Mortgage</v>
      </c>
      <c r="B20" s="190">
        <f>'1. Devel. Bud'!D97</f>
        <v>0</v>
      </c>
      <c r="C20" s="63" t="e">
        <f>B20/'1. Units &amp; Income'!$B$24</f>
        <v>#DIV/0!</v>
      </c>
      <c r="D20" s="39" t="e">
        <f>B20/$B$26</f>
        <v>#DIV/0!</v>
      </c>
      <c r="E20" s="12"/>
      <c r="F20" s="12"/>
      <c r="G20" s="17"/>
      <c r="H20" s="18"/>
    </row>
    <row r="21" spans="1:8" ht="15">
      <c r="A21" s="453" t="str">
        <f t="shared" si="0"/>
        <v>Fourth Mortgage (Lender:                                )</v>
      </c>
      <c r="B21" s="190">
        <f>'1. Devel. Bud'!D98</f>
        <v>0</v>
      </c>
      <c r="C21" s="63" t="e">
        <f>B21/'1. Units &amp; Income'!$B$24</f>
        <v>#DIV/0!</v>
      </c>
      <c r="D21" s="39" t="e">
        <f>B21/$B$26</f>
        <v>#DIV/0!</v>
      </c>
      <c r="E21" s="12"/>
      <c r="F21" s="12"/>
      <c r="G21" s="17"/>
      <c r="H21" s="18"/>
    </row>
    <row r="22" spans="1:8" ht="15">
      <c r="A22" s="453" t="str">
        <f t="shared" si="0"/>
        <v>Developer Equity</v>
      </c>
      <c r="B22" s="190">
        <f>'1. Devel. Bud'!D99</f>
        <v>0</v>
      </c>
      <c r="C22" s="63" t="e">
        <f>B22/'1. Units &amp; Income'!$B$24</f>
        <v>#DIV/0!</v>
      </c>
      <c r="D22" s="39" t="e">
        <f>B22/$B$26</f>
        <v>#DIV/0!</v>
      </c>
      <c r="E22" s="12"/>
      <c r="F22" s="12"/>
      <c r="G22" s="17"/>
      <c r="H22" s="18"/>
    </row>
    <row r="23" spans="1:8" ht="15">
      <c r="A23" s="453" t="str">
        <f t="shared" si="0"/>
        <v>Deferred Developer's Fee</v>
      </c>
      <c r="B23" s="190">
        <f>'1. Devel. Bud'!D100</f>
        <v>0</v>
      </c>
      <c r="C23" s="63"/>
      <c r="D23" s="39"/>
      <c r="E23" s="12"/>
      <c r="F23" s="12"/>
      <c r="G23" s="17"/>
      <c r="H23" s="18"/>
    </row>
    <row r="24" spans="1:8" ht="15">
      <c r="A24" s="453" t="str">
        <f t="shared" si="0"/>
        <v>Other source (Specify:                                )</v>
      </c>
      <c r="B24" s="190">
        <f>'1. Devel. Bud'!D101</f>
        <v>0</v>
      </c>
      <c r="C24" s="63"/>
      <c r="D24" s="39"/>
      <c r="E24" s="12"/>
      <c r="F24" s="12"/>
      <c r="G24" s="17"/>
      <c r="H24" s="18"/>
    </row>
    <row r="25" spans="1:8" ht="15">
      <c r="A25" s="36"/>
      <c r="B25" s="433"/>
      <c r="C25" s="63"/>
      <c r="D25" s="39"/>
      <c r="E25" s="18"/>
      <c r="F25" s="22"/>
      <c r="G25" s="17"/>
      <c r="H25" s="54"/>
    </row>
    <row r="26" spans="1:8" ht="15">
      <c r="A26" s="66" t="s">
        <v>9</v>
      </c>
      <c r="B26" s="591" t="e">
        <f>SUM(B18:B24)</f>
        <v>#DIV/0!</v>
      </c>
      <c r="C26" s="246" t="e">
        <f>B26/'1. Units &amp; Income'!$B$24</f>
        <v>#DIV/0!</v>
      </c>
      <c r="D26" s="248" t="e">
        <f>SUM(D18:D24)</f>
        <v>#DIV/0!</v>
      </c>
      <c r="E26" s="12"/>
      <c r="F26" s="55"/>
      <c r="G26" s="17"/>
      <c r="H26" s="18"/>
    </row>
    <row r="27" spans="1:8" ht="15.75" thickBot="1">
      <c r="A27" s="18"/>
      <c r="B27" s="253"/>
      <c r="C27" s="254"/>
      <c r="D27" s="52"/>
      <c r="E27" s="12"/>
      <c r="F27" s="55"/>
      <c r="G27" s="17"/>
      <c r="H27" s="18"/>
    </row>
    <row r="28" spans="1:7" ht="16.5" thickTop="1">
      <c r="A28" s="249" t="s">
        <v>201</v>
      </c>
      <c r="B28" s="191"/>
      <c r="C28" s="63"/>
      <c r="D28" s="247"/>
      <c r="E28" s="12"/>
      <c r="F28" s="12"/>
      <c r="G28" s="17"/>
    </row>
    <row r="29" spans="1:7" ht="15">
      <c r="A29" s="36" t="s">
        <v>10</v>
      </c>
      <c r="B29" s="192">
        <f>'1. Devel. Bud'!D6</f>
        <v>0</v>
      </c>
      <c r="C29" s="63" t="e">
        <f>B29/'1. Units &amp; Income'!$B$24</f>
        <v>#DIV/0!</v>
      </c>
      <c r="D29" s="39" t="e">
        <f>B29/$B$34</f>
        <v>#DIV/0!</v>
      </c>
      <c r="E29" s="12"/>
      <c r="F29" s="56"/>
      <c r="G29" s="17"/>
    </row>
    <row r="30" spans="1:7" ht="15">
      <c r="A30" s="36" t="s">
        <v>11</v>
      </c>
      <c r="B30" s="190">
        <f>'1. Devel. Bud'!D15</f>
        <v>0</v>
      </c>
      <c r="C30" s="63" t="e">
        <f>B30/'1. Units &amp; Income'!$B$24</f>
        <v>#DIV/0!</v>
      </c>
      <c r="D30" s="39" t="e">
        <f>B30/$B$34</f>
        <v>#DIV/0!</v>
      </c>
      <c r="E30" s="12"/>
      <c r="F30" s="12"/>
      <c r="G30" s="57"/>
    </row>
    <row r="31" spans="1:7" ht="15">
      <c r="A31" s="82" t="s">
        <v>12</v>
      </c>
      <c r="B31" s="190" t="e">
        <f>'1. Devel. Bud'!D74</f>
        <v>#DIV/0!</v>
      </c>
      <c r="C31" s="63" t="e">
        <f>B31/'1. Units &amp; Income'!$B$24</f>
        <v>#DIV/0!</v>
      </c>
      <c r="D31" s="39" t="e">
        <f>B31/$B$34</f>
        <v>#DIV/0!</v>
      </c>
      <c r="E31" s="12"/>
      <c r="F31" s="12"/>
      <c r="G31" s="57"/>
    </row>
    <row r="32" spans="1:7" ht="15">
      <c r="A32" s="82" t="s">
        <v>13</v>
      </c>
      <c r="B32" s="190">
        <f>'1. Devel. Bud'!D76</f>
        <v>0</v>
      </c>
      <c r="C32" s="63" t="e">
        <f>B32/'1. Units &amp; Income'!$B$24</f>
        <v>#DIV/0!</v>
      </c>
      <c r="D32" s="39" t="e">
        <f>B32/$B$34</f>
        <v>#DIV/0!</v>
      </c>
      <c r="E32" s="12"/>
      <c r="F32" s="12"/>
      <c r="G32" s="57"/>
    </row>
    <row r="33" spans="1:7" ht="15">
      <c r="A33" s="250"/>
      <c r="B33" s="433"/>
      <c r="C33" s="63"/>
      <c r="D33" s="251"/>
      <c r="E33" s="12"/>
      <c r="F33" s="12"/>
      <c r="G33" s="57"/>
    </row>
    <row r="34" spans="1:7" ht="15">
      <c r="A34" s="66" t="s">
        <v>14</v>
      </c>
      <c r="B34" s="245" t="e">
        <f>SUM(B29:B32)</f>
        <v>#DIV/0!</v>
      </c>
      <c r="C34" s="246" t="e">
        <f>B34/'1. Units &amp; Income'!$B$24</f>
        <v>#DIV/0!</v>
      </c>
      <c r="D34" s="248" t="e">
        <f>SUM(D29:D32)</f>
        <v>#DIV/0!</v>
      </c>
      <c r="E34" s="12"/>
      <c r="F34" s="12"/>
      <c r="G34" s="57"/>
    </row>
    <row r="35" spans="1:7" ht="15">
      <c r="A35" s="18"/>
      <c r="B35" s="171"/>
      <c r="C35" s="62"/>
      <c r="D35" s="54"/>
      <c r="E35" s="12"/>
      <c r="F35" s="12"/>
      <c r="G35" s="57"/>
    </row>
    <row r="36" spans="1:7" ht="15">
      <c r="A36" s="18"/>
      <c r="B36" s="193"/>
      <c r="C36" s="62"/>
      <c r="D36" s="54"/>
      <c r="E36" s="12"/>
      <c r="F36" s="12"/>
      <c r="G36" s="12"/>
    </row>
    <row r="37" spans="1:7" ht="15">
      <c r="A37" s="23"/>
      <c r="B37" s="194"/>
      <c r="C37" s="62"/>
      <c r="D37" s="52"/>
      <c r="E37" s="12"/>
      <c r="F37" s="12"/>
      <c r="G37" s="12"/>
    </row>
    <row r="38" spans="1:7" ht="15">
      <c r="A38" s="18"/>
      <c r="B38" s="18"/>
      <c r="C38" s="61"/>
      <c r="D38" s="52"/>
      <c r="E38" s="18"/>
      <c r="F38" s="18"/>
      <c r="G38" s="18"/>
    </row>
    <row r="39" spans="1:7" ht="15">
      <c r="A39" s="18"/>
      <c r="B39" s="18"/>
      <c r="C39" s="61"/>
      <c r="D39" s="52"/>
      <c r="E39" s="18"/>
      <c r="F39" s="18"/>
      <c r="G39" s="18"/>
    </row>
    <row r="40" spans="1:7" ht="15">
      <c r="A40" s="18"/>
      <c r="B40" s="18"/>
      <c r="C40" s="61"/>
      <c r="D40" s="52"/>
      <c r="E40" s="18"/>
      <c r="F40" s="18"/>
      <c r="G40" s="18"/>
    </row>
  </sheetData>
  <sheetProtection/>
  <printOptions/>
  <pageMargins left="0.75" right="0.5" top="0.75" bottom="0.5" header="0.5" footer="0.5"/>
  <pageSetup firstPageNumber="206" useFirstPageNumber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  <pageSetUpPr fitToPage="1"/>
  </sheetPr>
  <dimension ref="A1:P111"/>
  <sheetViews>
    <sheetView defaultGridColor="0" zoomScale="70" zoomScaleNormal="70" zoomScalePageLayoutView="0" colorId="22" workbookViewId="0" topLeftCell="A1">
      <selection activeCell="A4" sqref="A4"/>
    </sheetView>
  </sheetViews>
  <sheetFormatPr defaultColWidth="9.77734375" defaultRowHeight="15"/>
  <cols>
    <col min="1" max="1" width="40.99609375" style="44" customWidth="1"/>
    <col min="2" max="2" width="8.5546875" style="44" customWidth="1"/>
    <col min="3" max="3" width="13.77734375" style="44" customWidth="1"/>
    <col min="4" max="4" width="15.99609375" style="84" customWidth="1"/>
    <col min="5" max="5" width="16.10546875" style="44" customWidth="1"/>
    <col min="6" max="6" width="17.6640625" style="44" customWidth="1"/>
    <col min="7" max="7" width="10.4453125" style="44" customWidth="1"/>
    <col min="8" max="8" width="12.6640625" style="44" bestFit="1" customWidth="1"/>
    <col min="9" max="9" width="12.77734375" style="44" customWidth="1"/>
    <col min="10" max="10" width="12.4453125" style="44" customWidth="1"/>
    <col min="11" max="12" width="9.77734375" style="44" customWidth="1"/>
    <col min="13" max="13" width="12.4453125" style="44" customWidth="1"/>
    <col min="14" max="14" width="10.6640625" style="44" bestFit="1" customWidth="1"/>
    <col min="15" max="16384" width="9.77734375" style="44" customWidth="1"/>
  </cols>
  <sheetData>
    <row r="1" spans="1:6" ht="16.5" customHeight="1">
      <c r="A1" s="1" t="str">
        <f>'1. Sources and Use'!A1</f>
        <v>Willets Point Phase 1 Development</v>
      </c>
      <c r="C1" s="1254"/>
      <c r="E1" s="1"/>
      <c r="F1" s="25"/>
    </row>
    <row r="2" spans="1:6" ht="16.5" customHeight="1">
      <c r="A2" s="1" t="str">
        <f>'1. Units &amp; Income'!A2</f>
        <v>Building 1</v>
      </c>
      <c r="C2" s="1254"/>
      <c r="E2" s="730" t="str">
        <f>'1. Sources and Use'!C2</f>
        <v>Units:</v>
      </c>
      <c r="F2" s="731">
        <f>'1. Units &amp; Income'!B24</f>
        <v>0</v>
      </c>
    </row>
    <row r="3" spans="1:6" ht="15" customHeight="1">
      <c r="A3" s="1254"/>
      <c r="B3" s="1"/>
      <c r="C3" s="1254"/>
      <c r="E3" s="732" t="s">
        <v>484</v>
      </c>
      <c r="F3" s="731">
        <f>'1. Units &amp; Income'!I3</f>
        <v>0</v>
      </c>
    </row>
    <row r="4" spans="1:6" ht="15.75" customHeight="1">
      <c r="A4" s="1" t="s">
        <v>132</v>
      </c>
      <c r="B4" s="48"/>
      <c r="C4" s="1254"/>
      <c r="D4" s="49"/>
      <c r="E4" s="78"/>
      <c r="F4" s="25"/>
    </row>
    <row r="5" spans="1:7" ht="15">
      <c r="A5" s="18"/>
      <c r="B5" s="18"/>
      <c r="C5" s="18"/>
      <c r="D5" s="79" t="s">
        <v>292</v>
      </c>
      <c r="E5" s="18"/>
      <c r="F5" s="18"/>
      <c r="G5" s="18"/>
    </row>
    <row r="6" spans="1:7" ht="15.75">
      <c r="A6" s="398" t="s">
        <v>183</v>
      </c>
      <c r="B6" s="145"/>
      <c r="C6" s="145"/>
      <c r="D6" s="566">
        <v>0</v>
      </c>
      <c r="E6" s="1255"/>
      <c r="F6" s="1256"/>
      <c r="G6" s="18"/>
    </row>
    <row r="7" spans="1:10" ht="15.75">
      <c r="A7" s="142"/>
      <c r="B7" s="169"/>
      <c r="C7" s="168"/>
      <c r="D7" s="177"/>
      <c r="E7" s="65"/>
      <c r="F7" s="37"/>
      <c r="G7" s="18"/>
      <c r="J7" s="44" t="s">
        <v>119</v>
      </c>
    </row>
    <row r="8" spans="1:10" ht="15">
      <c r="A8" s="396" t="s">
        <v>184</v>
      </c>
      <c r="B8" s="80"/>
      <c r="C8" s="140"/>
      <c r="D8" s="175"/>
      <c r="E8" s="65"/>
      <c r="F8" s="37"/>
      <c r="G8" s="18" t="s">
        <v>119</v>
      </c>
      <c r="H8" s="44" t="s">
        <v>119</v>
      </c>
      <c r="I8" s="44" t="s">
        <v>119</v>
      </c>
      <c r="J8" s="44" t="s">
        <v>119</v>
      </c>
    </row>
    <row r="9" spans="1:7" ht="15">
      <c r="A9" s="28" t="s">
        <v>178</v>
      </c>
      <c r="B9" s="80"/>
      <c r="C9" s="140"/>
      <c r="D9" s="177"/>
      <c r="E9" s="168"/>
      <c r="F9" s="37"/>
      <c r="G9" s="18"/>
    </row>
    <row r="10" spans="1:10" ht="15">
      <c r="A10" s="141" t="s">
        <v>180</v>
      </c>
      <c r="B10" s="587" t="e">
        <f>D10/'1. Units &amp; Income'!B24</f>
        <v>#DIV/0!</v>
      </c>
      <c r="C10" s="18" t="s">
        <v>48</v>
      </c>
      <c r="D10" s="475"/>
      <c r="E10" s="588" t="e">
        <f>D10/'1. Units &amp; Income'!B7</f>
        <v>#DIV/0!</v>
      </c>
      <c r="F10" s="37" t="s">
        <v>115</v>
      </c>
      <c r="G10" s="18" t="s">
        <v>119</v>
      </c>
      <c r="H10" s="44" t="s">
        <v>120</v>
      </c>
      <c r="I10" s="44" t="s">
        <v>119</v>
      </c>
      <c r="J10" s="44" t="s">
        <v>119</v>
      </c>
    </row>
    <row r="11" spans="1:10" ht="15">
      <c r="A11" s="448" t="s">
        <v>246</v>
      </c>
      <c r="B11" s="81"/>
      <c r="C11" s="18"/>
      <c r="D11" s="475"/>
      <c r="E11" s="552" t="e">
        <f>D11/'1. Units &amp; Income'!B8</f>
        <v>#DIV/0!</v>
      </c>
      <c r="F11" s="37" t="s">
        <v>115</v>
      </c>
      <c r="G11" s="18" t="s">
        <v>119</v>
      </c>
      <c r="H11" s="44" t="s">
        <v>119</v>
      </c>
      <c r="I11" s="44" t="s">
        <v>119</v>
      </c>
      <c r="J11" s="44" t="s">
        <v>119</v>
      </c>
    </row>
    <row r="12" spans="1:7" ht="15">
      <c r="A12" s="141" t="s">
        <v>179</v>
      </c>
      <c r="B12" s="81"/>
      <c r="C12" s="18"/>
      <c r="D12" s="475"/>
      <c r="E12" s="552" t="e">
        <f>D12/'1. Units &amp; Income'!B9</f>
        <v>#DIV/0!</v>
      </c>
      <c r="F12" s="37" t="s">
        <v>115</v>
      </c>
      <c r="G12" s="18"/>
    </row>
    <row r="13" spans="1:10" ht="15">
      <c r="A13" s="141" t="s">
        <v>114</v>
      </c>
      <c r="B13" s="36"/>
      <c r="C13" s="65"/>
      <c r="D13" s="475"/>
      <c r="E13" s="552" t="e">
        <f>D13/'1. Units &amp; Income'!B10</f>
        <v>#DIV/0!</v>
      </c>
      <c r="F13" s="37" t="s">
        <v>115</v>
      </c>
      <c r="G13" s="18" t="s">
        <v>119</v>
      </c>
      <c r="H13" s="44" t="s">
        <v>119</v>
      </c>
      <c r="I13" s="44" t="s">
        <v>119</v>
      </c>
      <c r="J13" s="44" t="s">
        <v>119</v>
      </c>
    </row>
    <row r="14" spans="1:10" ht="17.25">
      <c r="A14" s="36" t="s">
        <v>72</v>
      </c>
      <c r="B14" s="535"/>
      <c r="C14" s="706"/>
      <c r="D14" s="721">
        <f>B14*($D$10+$D$11+$D$12+$D$13)</f>
        <v>0</v>
      </c>
      <c r="E14" s="714"/>
      <c r="F14" s="37"/>
      <c r="G14" s="18" t="s">
        <v>119</v>
      </c>
      <c r="H14" s="44" t="s">
        <v>119</v>
      </c>
      <c r="I14" s="44" t="s">
        <v>119</v>
      </c>
      <c r="J14" s="44" t="s">
        <v>119</v>
      </c>
    </row>
    <row r="15" spans="1:7" ht="15.75">
      <c r="A15" s="399" t="s">
        <v>182</v>
      </c>
      <c r="B15" s="589" t="e">
        <f>D15/'1. Units &amp; Income'!B24</f>
        <v>#DIV/0!</v>
      </c>
      <c r="C15" s="18" t="s">
        <v>48</v>
      </c>
      <c r="D15" s="178">
        <f>SUM(D10:D14)</f>
        <v>0</v>
      </c>
      <c r="E15" s="710" t="e">
        <f>D15/'1. Units &amp; Income'!B11</f>
        <v>#DIV/0!</v>
      </c>
      <c r="F15" s="14" t="s">
        <v>110</v>
      </c>
      <c r="G15" s="18"/>
    </row>
    <row r="16" spans="1:7" ht="15">
      <c r="A16" s="28"/>
      <c r="B16" s="36"/>
      <c r="C16" s="65"/>
      <c r="D16" s="177"/>
      <c r="E16" s="710" t="e">
        <f>D15/F2</f>
        <v>#DIV/0!</v>
      </c>
      <c r="F16" s="37" t="s">
        <v>500</v>
      </c>
      <c r="G16" s="18"/>
    </row>
    <row r="17" spans="1:7" ht="15">
      <c r="A17" s="28"/>
      <c r="B17" s="36"/>
      <c r="C17" s="65"/>
      <c r="D17" s="177"/>
      <c r="E17" s="65"/>
      <c r="F17" s="37"/>
      <c r="G17" s="18"/>
    </row>
    <row r="18" spans="1:16" ht="15">
      <c r="A18" s="396" t="s">
        <v>185</v>
      </c>
      <c r="B18" s="80"/>
      <c r="C18" s="140"/>
      <c r="D18" s="177"/>
      <c r="E18" s="65"/>
      <c r="F18" s="37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">
      <c r="A19" s="147"/>
      <c r="B19" s="80"/>
      <c r="C19" s="140"/>
      <c r="D19" s="177"/>
      <c r="E19" s="65"/>
      <c r="F19" s="37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">
      <c r="A20" s="28" t="s">
        <v>49</v>
      </c>
      <c r="B20" s="36"/>
      <c r="C20" s="65"/>
      <c r="D20" s="475"/>
      <c r="E20" s="715"/>
      <c r="F20" s="37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28" t="s">
        <v>51</v>
      </c>
      <c r="B21" s="36"/>
      <c r="C21" s="707"/>
      <c r="D21" s="475"/>
      <c r="E21" s="710"/>
      <c r="F21" s="37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5">
      <c r="A22" s="28" t="s">
        <v>243</v>
      </c>
      <c r="B22" s="36"/>
      <c r="C22" s="65"/>
      <c r="D22" s="475"/>
      <c r="E22" s="716"/>
      <c r="F22" s="37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28" t="s">
        <v>74</v>
      </c>
      <c r="B23" s="36"/>
      <c r="C23" s="65"/>
      <c r="D23" s="475"/>
      <c r="E23" s="716"/>
      <c r="F23" s="37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28" t="s">
        <v>55</v>
      </c>
      <c r="B24" s="36"/>
      <c r="C24" s="65"/>
      <c r="D24" s="475"/>
      <c r="E24" s="716"/>
      <c r="F24" s="37"/>
      <c r="G24" s="18"/>
      <c r="H24" s="18"/>
      <c r="I24" s="18"/>
      <c r="J24" s="18"/>
      <c r="K24" s="18"/>
      <c r="L24" s="18"/>
      <c r="M24" s="21"/>
      <c r="N24" s="21"/>
      <c r="O24" s="21"/>
      <c r="P24" s="17"/>
    </row>
    <row r="25" spans="1:16" ht="15">
      <c r="A25" s="28" t="s">
        <v>187</v>
      </c>
      <c r="B25" s="87"/>
      <c r="C25" s="65"/>
      <c r="D25" s="475"/>
      <c r="E25" s="65"/>
      <c r="F25" s="37"/>
      <c r="G25" s="18"/>
      <c r="H25" s="18"/>
      <c r="I25" s="18"/>
      <c r="J25" s="18"/>
      <c r="K25" s="18"/>
      <c r="L25" s="18"/>
      <c r="M25" s="18"/>
      <c r="N25" s="22"/>
      <c r="O25" s="21"/>
      <c r="P25" s="17"/>
    </row>
    <row r="26" spans="1:16" ht="15">
      <c r="A26" s="28" t="s">
        <v>192</v>
      </c>
      <c r="C26" s="65"/>
      <c r="D26" s="475"/>
      <c r="E26" s="716"/>
      <c r="F26" s="37"/>
      <c r="G26" s="18"/>
      <c r="H26" s="18"/>
      <c r="I26" s="18"/>
      <c r="J26" s="18"/>
      <c r="K26" s="18"/>
      <c r="L26" s="18"/>
      <c r="M26" s="18"/>
      <c r="N26" s="17"/>
      <c r="O26" s="17"/>
      <c r="P26" s="18"/>
    </row>
    <row r="27" spans="1:16" ht="15">
      <c r="A27" s="28" t="s">
        <v>360</v>
      </c>
      <c r="C27" s="65"/>
      <c r="D27" s="475"/>
      <c r="E27" s="65" t="s">
        <v>359</v>
      </c>
      <c r="F27" s="37"/>
      <c r="G27" s="18"/>
      <c r="H27" s="18"/>
      <c r="I27" s="18"/>
      <c r="J27" s="18"/>
      <c r="K27" s="18"/>
      <c r="L27" s="18"/>
      <c r="M27" s="18"/>
      <c r="N27" s="17"/>
      <c r="O27" s="17"/>
      <c r="P27" s="18"/>
    </row>
    <row r="28" spans="1:16" ht="15">
      <c r="A28" s="28" t="s">
        <v>118</v>
      </c>
      <c r="B28" s="36"/>
      <c r="C28" s="65"/>
      <c r="D28" s="475"/>
      <c r="E28" s="65"/>
      <c r="F28" s="37"/>
      <c r="G28" s="18"/>
      <c r="H28" s="18"/>
      <c r="I28" s="18"/>
      <c r="J28" s="18"/>
      <c r="K28" s="18"/>
      <c r="L28" s="18"/>
      <c r="M28" s="21"/>
      <c r="N28" s="21"/>
      <c r="O28" s="21"/>
      <c r="P28" s="17"/>
    </row>
    <row r="29" spans="1:16" ht="15">
      <c r="A29" s="28" t="s">
        <v>56</v>
      </c>
      <c r="B29" s="36"/>
      <c r="C29" s="65"/>
      <c r="D29" s="475"/>
      <c r="E29" s="65"/>
      <c r="F29" s="37"/>
      <c r="G29" s="18"/>
      <c r="H29" s="18"/>
      <c r="I29" s="18"/>
      <c r="J29" s="18"/>
      <c r="K29" s="18"/>
      <c r="L29" s="18"/>
      <c r="M29" s="18"/>
      <c r="N29" s="18"/>
      <c r="O29" s="18"/>
      <c r="P29" s="17"/>
    </row>
    <row r="30" spans="1:16" ht="15">
      <c r="A30" s="28" t="s">
        <v>194</v>
      </c>
      <c r="B30" s="36"/>
      <c r="C30" s="65"/>
      <c r="D30" s="475"/>
      <c r="E30" s="65"/>
      <c r="F30" s="37"/>
      <c r="G30" s="18"/>
      <c r="H30" s="18"/>
      <c r="I30" s="18"/>
      <c r="J30" s="18"/>
      <c r="K30" s="18"/>
      <c r="L30" s="18"/>
      <c r="M30" s="18"/>
      <c r="N30" s="18"/>
      <c r="O30" s="18"/>
      <c r="P30" s="17"/>
    </row>
    <row r="31" spans="1:16" ht="15">
      <c r="A31" s="28" t="s">
        <v>73</v>
      </c>
      <c r="B31" s="82"/>
      <c r="C31" s="65"/>
      <c r="D31" s="475"/>
      <c r="E31" s="65" t="s">
        <v>378</v>
      </c>
      <c r="F31" s="37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5">
      <c r="A32" s="28" t="s">
        <v>181</v>
      </c>
      <c r="B32" s="82"/>
      <c r="C32" s="65"/>
      <c r="D32" s="475"/>
      <c r="E32" s="65"/>
      <c r="F32" s="37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">
      <c r="A33" s="228" t="s">
        <v>330</v>
      </c>
      <c r="B33" s="80"/>
      <c r="C33" s="65"/>
      <c r="D33" s="475"/>
      <c r="E33" s="65"/>
      <c r="F33" s="37"/>
      <c r="G33" s="18"/>
      <c r="H33" s="18"/>
      <c r="I33" s="18"/>
      <c r="J33" s="18"/>
      <c r="K33" s="18"/>
      <c r="L33" s="18"/>
      <c r="M33" s="85"/>
      <c r="N33" s="70"/>
      <c r="O33" s="22"/>
      <c r="P33" s="86"/>
    </row>
    <row r="34" spans="1:16" ht="15.75">
      <c r="A34" s="399" t="s">
        <v>52</v>
      </c>
      <c r="B34" s="146"/>
      <c r="C34" s="708"/>
      <c r="D34" s="518">
        <f>SUM(D20:D33)</f>
        <v>0</v>
      </c>
      <c r="E34" s="65"/>
      <c r="F34" s="37"/>
      <c r="G34" s="18"/>
      <c r="H34" s="18"/>
      <c r="I34" s="18"/>
      <c r="J34" s="18"/>
      <c r="K34" s="18"/>
      <c r="L34" s="18"/>
      <c r="M34" s="21"/>
      <c r="N34" s="18"/>
      <c r="O34" s="18"/>
      <c r="P34" s="17"/>
    </row>
    <row r="35" spans="1:16" ht="15">
      <c r="A35" s="28"/>
      <c r="B35" s="81"/>
      <c r="D35" s="177"/>
      <c r="E35" s="65"/>
      <c r="F35" s="37"/>
      <c r="G35" s="18"/>
      <c r="H35" s="18"/>
      <c r="I35" s="18"/>
      <c r="J35" s="18"/>
      <c r="K35" s="18"/>
      <c r="L35" s="18"/>
      <c r="M35" s="18"/>
      <c r="N35" s="18"/>
      <c r="O35" s="18"/>
      <c r="P35" s="17"/>
    </row>
    <row r="36" spans="1:16" ht="15">
      <c r="A36" s="397" t="s">
        <v>326</v>
      </c>
      <c r="B36" s="81"/>
      <c r="D36" s="177"/>
      <c r="E36" s="65"/>
      <c r="F36" s="37"/>
      <c r="G36" s="18"/>
      <c r="H36" s="18"/>
      <c r="I36" s="18"/>
      <c r="J36" s="18"/>
      <c r="K36" s="18"/>
      <c r="L36" s="18"/>
      <c r="M36" s="18"/>
      <c r="N36" s="18"/>
      <c r="O36" s="18"/>
      <c r="P36" s="17"/>
    </row>
    <row r="37" spans="1:16" ht="15">
      <c r="A37" s="28" t="s">
        <v>77</v>
      </c>
      <c r="B37" s="519"/>
      <c r="C37" s="65" t="s">
        <v>339</v>
      </c>
      <c r="D37" s="179">
        <f>'1. Devel. Bud'!B37*'1. Cons Int &amp; Neg Arb'!C75</f>
        <v>0</v>
      </c>
      <c r="E37" s="65" t="s">
        <v>325</v>
      </c>
      <c r="F37" s="37"/>
      <c r="G37" s="18"/>
      <c r="H37" s="208"/>
      <c r="I37" s="523"/>
      <c r="J37" s="18"/>
      <c r="K37" s="18"/>
      <c r="L37" s="18"/>
      <c r="M37" s="18"/>
      <c r="N37" s="18"/>
      <c r="O37" s="67"/>
      <c r="P37" s="69"/>
    </row>
    <row r="38" spans="1:16" ht="15">
      <c r="A38" s="28" t="s">
        <v>78</v>
      </c>
      <c r="B38" s="519"/>
      <c r="C38" s="65" t="s">
        <v>340</v>
      </c>
      <c r="D38" s="179">
        <f>B38*'1. Cons Int &amp; Neg Arb'!C75*'1. Cons Int &amp; Neg Arb'!C16</f>
        <v>0</v>
      </c>
      <c r="E38" s="65" t="s">
        <v>325</v>
      </c>
      <c r="F38" s="83"/>
      <c r="G38" s="18"/>
      <c r="I38" s="18"/>
      <c r="J38" s="18"/>
      <c r="K38" s="18"/>
      <c r="L38" s="18"/>
      <c r="M38" s="68"/>
      <c r="N38" s="70"/>
      <c r="O38" s="22"/>
      <c r="P38" s="17"/>
    </row>
    <row r="39" spans="1:16" ht="15">
      <c r="A39" s="28" t="s">
        <v>327</v>
      </c>
      <c r="B39" s="525">
        <v>0.0075</v>
      </c>
      <c r="C39" s="65" t="s">
        <v>341</v>
      </c>
      <c r="D39" s="1284">
        <f>B39*D85</f>
        <v>0</v>
      </c>
      <c r="E39" s="65"/>
      <c r="F39" s="83"/>
      <c r="G39" s="18"/>
      <c r="H39" s="208"/>
      <c r="I39" s="18"/>
      <c r="J39" s="18"/>
      <c r="K39" s="18"/>
      <c r="L39" s="18"/>
      <c r="M39" s="21"/>
      <c r="N39" s="21"/>
      <c r="O39" s="21"/>
      <c r="P39" s="17"/>
    </row>
    <row r="40" spans="1:16" ht="15">
      <c r="A40" s="28" t="s">
        <v>475</v>
      </c>
      <c r="B40" s="525"/>
      <c r="C40" s="65"/>
      <c r="D40" s="475"/>
      <c r="E40" s="65"/>
      <c r="F40" s="37"/>
      <c r="G40" s="18"/>
      <c r="H40" s="18"/>
      <c r="I40" s="18"/>
      <c r="J40" s="18"/>
      <c r="K40" s="18"/>
      <c r="L40" s="18"/>
      <c r="M40" s="18"/>
      <c r="N40" s="22"/>
      <c r="O40" s="21"/>
      <c r="P40" s="17"/>
    </row>
    <row r="41" spans="1:16" ht="15">
      <c r="A41" s="28" t="s">
        <v>367</v>
      </c>
      <c r="B41" s="525">
        <v>0.015</v>
      </c>
      <c r="C41" s="65" t="s">
        <v>341</v>
      </c>
      <c r="D41" s="179">
        <f>B41*D85</f>
        <v>0</v>
      </c>
      <c r="E41" s="65"/>
      <c r="F41" s="37"/>
      <c r="G41" s="18"/>
      <c r="H41" s="18"/>
      <c r="I41" s="18"/>
      <c r="J41" s="18"/>
      <c r="K41" s="18"/>
      <c r="L41" s="18"/>
      <c r="M41" s="18"/>
      <c r="N41" s="22"/>
      <c r="O41" s="21"/>
      <c r="P41" s="17"/>
    </row>
    <row r="42" spans="1:16" ht="15">
      <c r="A42" s="28" t="s">
        <v>476</v>
      </c>
      <c r="B42" s="525"/>
      <c r="C42" s="65"/>
      <c r="D42" s="475"/>
      <c r="E42" s="65"/>
      <c r="F42" s="37"/>
      <c r="G42" s="18"/>
      <c r="H42" s="18"/>
      <c r="I42" s="18"/>
      <c r="J42" s="18"/>
      <c r="K42" s="18"/>
      <c r="L42" s="18"/>
      <c r="M42" s="18"/>
      <c r="N42" s="22"/>
      <c r="O42" s="21"/>
      <c r="P42" s="17"/>
    </row>
    <row r="43" spans="1:16" ht="15">
      <c r="A43" s="28" t="s">
        <v>123</v>
      </c>
      <c r="B43" s="525"/>
      <c r="C43" s="65"/>
      <c r="D43" s="475"/>
      <c r="E43" s="65" t="s">
        <v>361</v>
      </c>
      <c r="F43" s="37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">
      <c r="A44" s="1257" t="s">
        <v>477</v>
      </c>
      <c r="B44" s="519"/>
      <c r="C44" s="1258" t="s">
        <v>481</v>
      </c>
      <c r="D44" s="1285" t="e">
        <f>B44*D95</f>
        <v>#DIV/0!</v>
      </c>
      <c r="E44" s="65"/>
      <c r="F44" s="37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">
      <c r="A45" s="1257" t="s">
        <v>478</v>
      </c>
      <c r="B45" s="519"/>
      <c r="C45" s="1258" t="s">
        <v>481</v>
      </c>
      <c r="D45" s="1285" t="e">
        <f>B45*D95</f>
        <v>#DIV/0!</v>
      </c>
      <c r="E45" s="65"/>
      <c r="F45" s="37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">
      <c r="A46" s="1257" t="s">
        <v>479</v>
      </c>
      <c r="B46" s="519"/>
      <c r="C46" s="1258" t="s">
        <v>481</v>
      </c>
      <c r="D46" s="1285" t="e">
        <f>B46*D95</f>
        <v>#DIV/0!</v>
      </c>
      <c r="E46" s="65"/>
      <c r="F46" s="37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">
      <c r="A47" s="1257" t="s">
        <v>480</v>
      </c>
      <c r="B47" s="519"/>
      <c r="C47" s="1258" t="s">
        <v>481</v>
      </c>
      <c r="D47" s="1285" t="e">
        <f>B47*D95</f>
        <v>#DIV/0!</v>
      </c>
      <c r="E47" s="65"/>
      <c r="F47" s="37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49" customFormat="1" ht="15">
      <c r="A48" s="228" t="s">
        <v>362</v>
      </c>
      <c r="B48" s="525"/>
      <c r="C48" s="168"/>
      <c r="D48" s="722"/>
      <c r="E48" s="65" t="s">
        <v>363</v>
      </c>
      <c r="F48" s="170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 s="149" customFormat="1" ht="14.25" customHeight="1">
      <c r="A49" s="228" t="s">
        <v>237</v>
      </c>
      <c r="B49" s="525"/>
      <c r="C49" s="168"/>
      <c r="D49" s="722"/>
      <c r="E49" s="65" t="s">
        <v>364</v>
      </c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s="149" customFormat="1" ht="15">
      <c r="A50" s="228" t="s">
        <v>365</v>
      </c>
      <c r="B50" s="525"/>
      <c r="C50" s="170"/>
      <c r="D50" s="722"/>
      <c r="E50" s="65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  <row r="51" spans="1:16" ht="15">
      <c r="A51" s="228" t="s">
        <v>330</v>
      </c>
      <c r="B51" s="80"/>
      <c r="C51" s="1300"/>
      <c r="D51" s="722"/>
      <c r="E51" s="65"/>
      <c r="F51" s="37"/>
      <c r="G51" s="18"/>
      <c r="H51" s="18"/>
      <c r="I51" s="18"/>
      <c r="J51" s="18"/>
      <c r="K51" s="18"/>
      <c r="L51" s="18"/>
      <c r="M51" s="85"/>
      <c r="N51" s="70"/>
      <c r="O51" s="22"/>
      <c r="P51" s="86"/>
    </row>
    <row r="52" spans="1:16" ht="15.75">
      <c r="A52" s="399" t="s">
        <v>52</v>
      </c>
      <c r="B52" s="146"/>
      <c r="C52" s="708"/>
      <c r="D52" s="178" t="e">
        <f>SUM(D37:D51)</f>
        <v>#DIV/0!</v>
      </c>
      <c r="E52" s="65"/>
      <c r="F52" s="37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5">
      <c r="A53" s="229"/>
      <c r="B53" s="151"/>
      <c r="C53" s="65"/>
      <c r="D53" s="177"/>
      <c r="E53" s="65"/>
      <c r="F53" s="37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5">
      <c r="A54" s="397" t="s">
        <v>324</v>
      </c>
      <c r="B54" s="36"/>
      <c r="C54" s="65"/>
      <c r="D54" s="724"/>
      <c r="E54" s="65"/>
      <c r="F54" s="37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">
      <c r="A55" s="28" t="s">
        <v>57</v>
      </c>
      <c r="B55" s="36"/>
      <c r="C55" s="706"/>
      <c r="D55" s="725" t="e">
        <f>'1. Cons Int &amp; Neg Arb'!F42</f>
        <v>#DIV/0!</v>
      </c>
      <c r="E55" s="65" t="s">
        <v>325</v>
      </c>
      <c r="F55" s="37"/>
      <c r="G55" s="18"/>
      <c r="H55" s="18"/>
      <c r="I55" s="18"/>
      <c r="J55" s="18"/>
      <c r="K55" s="18"/>
      <c r="L55" s="18"/>
      <c r="M55" s="85"/>
      <c r="N55" s="18"/>
      <c r="O55" s="18"/>
      <c r="P55" s="18"/>
    </row>
    <row r="56" spans="1:16" ht="15">
      <c r="A56" s="28" t="s">
        <v>53</v>
      </c>
      <c r="B56" s="36"/>
      <c r="C56" s="65"/>
      <c r="D56" s="726" t="e">
        <f>'1. Cons Int &amp; Neg Arb'!B67</f>
        <v>#DIV/0!</v>
      </c>
      <c r="E56" s="65" t="s">
        <v>366</v>
      </c>
      <c r="F56" s="83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">
      <c r="A57" s="28" t="s">
        <v>358</v>
      </c>
      <c r="B57" s="82"/>
      <c r="C57" s="65"/>
      <c r="D57" s="722"/>
      <c r="E57" s="65" t="s">
        <v>368</v>
      </c>
      <c r="F57" s="37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5">
      <c r="A58" s="28" t="s">
        <v>196</v>
      </c>
      <c r="B58" s="36"/>
      <c r="C58" s="65"/>
      <c r="D58" s="722"/>
      <c r="E58" s="65"/>
      <c r="F58" s="37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5">
      <c r="A59" s="28" t="s">
        <v>59</v>
      </c>
      <c r="B59" s="36"/>
      <c r="C59" s="65"/>
      <c r="D59" s="722"/>
      <c r="E59" s="65"/>
      <c r="F59" s="37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">
      <c r="A60" s="28" t="s">
        <v>58</v>
      </c>
      <c r="B60" s="184"/>
      <c r="C60" s="65"/>
      <c r="D60" s="722"/>
      <c r="E60" s="65"/>
      <c r="F60" s="37"/>
      <c r="G60" s="18"/>
      <c r="H60" s="18"/>
      <c r="I60" s="18"/>
      <c r="J60" s="18"/>
      <c r="K60" s="18"/>
      <c r="L60" s="18"/>
      <c r="M60" s="18"/>
      <c r="N60" s="18"/>
      <c r="O60" s="18"/>
      <c r="P60" s="17"/>
    </row>
    <row r="61" spans="1:16" ht="15">
      <c r="A61" s="28" t="s">
        <v>186</v>
      </c>
      <c r="B61" s="65"/>
      <c r="C61" s="65"/>
      <c r="D61" s="722"/>
      <c r="E61" s="65"/>
      <c r="F61" s="37"/>
      <c r="G61" s="18"/>
      <c r="H61" s="18"/>
      <c r="I61" s="18"/>
      <c r="J61" s="18"/>
      <c r="K61" s="18"/>
      <c r="L61" s="18"/>
      <c r="M61" s="18"/>
      <c r="N61" s="18"/>
      <c r="O61" s="18"/>
      <c r="P61" s="17"/>
    </row>
    <row r="62" spans="1:16" ht="15">
      <c r="A62" s="28" t="s">
        <v>60</v>
      </c>
      <c r="B62" s="207"/>
      <c r="C62" s="710"/>
      <c r="D62" s="722"/>
      <c r="E62" s="65"/>
      <c r="F62" s="37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6" ht="15.75">
      <c r="A63" s="28" t="s">
        <v>83</v>
      </c>
      <c r="B63" s="137"/>
      <c r="C63" s="137"/>
      <c r="D63" s="722"/>
      <c r="E63" s="65"/>
      <c r="F63" s="150"/>
    </row>
    <row r="64" spans="1:16" ht="15">
      <c r="A64" s="228" t="s">
        <v>330</v>
      </c>
      <c r="B64" s="80"/>
      <c r="C64" s="65"/>
      <c r="D64" s="722"/>
      <c r="E64" s="65"/>
      <c r="F64" s="37"/>
      <c r="G64" s="18"/>
      <c r="H64" s="18"/>
      <c r="I64" s="18"/>
      <c r="J64" s="18"/>
      <c r="K64" s="18"/>
      <c r="L64" s="18"/>
      <c r="M64" s="85"/>
      <c r="N64" s="70"/>
      <c r="O64" s="22"/>
      <c r="P64" s="86"/>
    </row>
    <row r="65" spans="1:6" ht="15.75">
      <c r="A65" s="399" t="s">
        <v>52</v>
      </c>
      <c r="B65" s="137"/>
      <c r="C65" s="137"/>
      <c r="D65" s="467" t="e">
        <f>SUM(D55:D64)</f>
        <v>#DIV/0!</v>
      </c>
      <c r="E65" s="65"/>
      <c r="F65" s="150"/>
    </row>
    <row r="66" spans="1:16" ht="15">
      <c r="A66" s="28"/>
      <c r="B66" s="36"/>
      <c r="C66" s="65"/>
      <c r="D66" s="179"/>
      <c r="E66" s="65"/>
      <c r="F66" s="37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">
      <c r="A67" s="397" t="s">
        <v>218</v>
      </c>
      <c r="B67" s="36"/>
      <c r="C67" s="65"/>
      <c r="D67" s="179"/>
      <c r="E67" s="65"/>
      <c r="F67" s="37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">
      <c r="A68" s="28" t="s">
        <v>242</v>
      </c>
      <c r="B68" s="36"/>
      <c r="C68" s="65"/>
      <c r="D68" s="722"/>
      <c r="E68" s="65" t="s">
        <v>369</v>
      </c>
      <c r="F68" s="37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5">
      <c r="A69" s="28" t="s">
        <v>193</v>
      </c>
      <c r="B69" s="1302"/>
      <c r="C69" s="711" t="s">
        <v>105</v>
      </c>
      <c r="D69" s="179">
        <f>B69*F2</f>
        <v>0</v>
      </c>
      <c r="E69" s="65" t="s">
        <v>370</v>
      </c>
      <c r="F69" s="37"/>
      <c r="G69" s="171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">
      <c r="A70" s="28" t="s">
        <v>244</v>
      </c>
      <c r="B70" s="36"/>
      <c r="C70" s="711"/>
      <c r="D70" s="722"/>
      <c r="E70" s="65"/>
      <c r="F70" s="37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5">
      <c r="A71" s="28" t="s">
        <v>82</v>
      </c>
      <c r="B71" s="36" t="s">
        <v>195</v>
      </c>
      <c r="C71" s="65"/>
      <c r="D71" s="722"/>
      <c r="E71" s="717" t="e">
        <f>D71/D74</f>
        <v>#DIV/0!</v>
      </c>
      <c r="F71" s="37" t="s">
        <v>113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5.75">
      <c r="A72" s="148" t="s">
        <v>52</v>
      </c>
      <c r="B72" s="36"/>
      <c r="C72" s="65"/>
      <c r="D72" s="178">
        <f>SUM(D67:D71)</f>
        <v>0</v>
      </c>
      <c r="E72" s="597"/>
      <c r="F72" s="37"/>
      <c r="G72" s="21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5">
      <c r="A73" s="28"/>
      <c r="B73" s="36"/>
      <c r="C73" s="65"/>
      <c r="D73" s="177"/>
      <c r="E73" s="597"/>
      <c r="F73" s="37"/>
      <c r="G73" s="21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5.75">
      <c r="A74" s="397" t="s">
        <v>112</v>
      </c>
      <c r="B74" s="36"/>
      <c r="C74" s="65"/>
      <c r="D74" s="518" t="e">
        <f>D34+D52+D65+D72</f>
        <v>#DIV/0!</v>
      </c>
      <c r="E74" s="597"/>
      <c r="F74" s="37"/>
      <c r="G74" s="21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">
      <c r="A75" s="28"/>
      <c r="B75" s="36"/>
      <c r="C75" s="65"/>
      <c r="D75" s="177"/>
      <c r="E75" s="1259"/>
      <c r="F75" s="1260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7" ht="15.75">
      <c r="A76" s="397" t="s">
        <v>61</v>
      </c>
      <c r="B76" s="143"/>
      <c r="C76" s="74"/>
      <c r="D76" s="476"/>
      <c r="E76" s="100" t="e">
        <f>D76/(D79-D76)</f>
        <v>#DIV/0!</v>
      </c>
      <c r="F76" s="1261" t="s">
        <v>338</v>
      </c>
      <c r="G76" s="18"/>
    </row>
    <row r="77" spans="1:6" ht="15">
      <c r="A77" s="28"/>
      <c r="B77" s="36"/>
      <c r="C77" s="65"/>
      <c r="D77" s="177"/>
      <c r="E77" s="65"/>
      <c r="F77" s="37"/>
    </row>
    <row r="78" spans="1:10" ht="15">
      <c r="A78" s="28"/>
      <c r="B78" s="36"/>
      <c r="C78" s="65"/>
      <c r="D78" s="175"/>
      <c r="E78" s="65"/>
      <c r="F78" s="37"/>
      <c r="J78" s="206"/>
    </row>
    <row r="79" spans="1:6" ht="15.75">
      <c r="A79" s="400" t="s">
        <v>62</v>
      </c>
      <c r="B79" s="66"/>
      <c r="C79" s="712"/>
      <c r="D79" s="401" t="e">
        <f>D6+D15+D74+D76</f>
        <v>#DIV/0!</v>
      </c>
      <c r="E79" s="720"/>
      <c r="F79" s="88"/>
    </row>
    <row r="80" spans="1:6" ht="15">
      <c r="A80" s="729"/>
      <c r="B80" s="65"/>
      <c r="C80" s="65"/>
      <c r="D80" s="1262" t="e">
        <f>D79/F2</f>
        <v>#DIV/0!</v>
      </c>
      <c r="E80" s="1263" t="s">
        <v>482</v>
      </c>
      <c r="F80" s="597"/>
    </row>
    <row r="81" spans="1:6" ht="15">
      <c r="A81" s="729"/>
      <c r="B81" s="65"/>
      <c r="C81" s="65"/>
      <c r="D81" s="1264" t="e">
        <f>D79/F3</f>
        <v>#DIV/0!</v>
      </c>
      <c r="E81" s="1265" t="s">
        <v>16</v>
      </c>
      <c r="F81" s="597"/>
    </row>
    <row r="82" spans="1:6" ht="15">
      <c r="A82" s="729"/>
      <c r="B82" s="65"/>
      <c r="C82" s="65"/>
      <c r="D82" s="1266" t="e">
        <f>D79/'1. Units &amp; Income'!B7</f>
        <v>#DIV/0!</v>
      </c>
      <c r="E82" s="1267" t="s">
        <v>483</v>
      </c>
      <c r="F82" s="597"/>
    </row>
    <row r="83" spans="1:6" ht="15">
      <c r="A83" s="18"/>
      <c r="B83" s="18"/>
      <c r="C83" s="18"/>
      <c r="D83" s="182"/>
      <c r="F83" s="21"/>
    </row>
    <row r="84" spans="1:7" ht="15.75">
      <c r="A84" s="1" t="s">
        <v>81</v>
      </c>
      <c r="B84" s="18"/>
      <c r="C84" s="208"/>
      <c r="D84" s="181"/>
      <c r="E84" s="89"/>
      <c r="F84" s="21"/>
      <c r="G84" s="18"/>
    </row>
    <row r="85" spans="1:5" ht="15">
      <c r="A85" s="67" t="str">
        <f>A95</f>
        <v>HDC Bond First Mortgage </v>
      </c>
      <c r="B85" s="18"/>
      <c r="C85" s="208"/>
      <c r="D85" s="465"/>
      <c r="E85" s="22" t="e">
        <f>D85/$D$79</f>
        <v>#DIV/0!</v>
      </c>
    </row>
    <row r="86" spans="1:6" ht="15">
      <c r="A86" s="67" t="str">
        <f aca="true" t="shared" si="0" ref="A86:A91">A96</f>
        <v>HDC Second Mortgage</v>
      </c>
      <c r="B86" s="18"/>
      <c r="C86" s="208"/>
      <c r="D86" s="561"/>
      <c r="E86" s="22" t="e">
        <f aca="true" t="shared" si="1" ref="E86:E91">D86/$D$79</f>
        <v>#DIV/0!</v>
      </c>
      <c r="F86" s="21"/>
    </row>
    <row r="87" spans="1:8" ht="15">
      <c r="A87" s="67" t="str">
        <f t="shared" si="0"/>
        <v>HPD Subsidy Third Mortgage</v>
      </c>
      <c r="C87" s="206"/>
      <c r="D87" s="562"/>
      <c r="E87" s="22" t="e">
        <f t="shared" si="1"/>
        <v>#DIV/0!</v>
      </c>
      <c r="H87" s="206"/>
    </row>
    <row r="88" spans="1:8" ht="15">
      <c r="A88" s="67" t="str">
        <f t="shared" si="0"/>
        <v>Fourth Mortgage (Lender:                                )</v>
      </c>
      <c r="C88" s="206"/>
      <c r="D88" s="562"/>
      <c r="E88" s="22" t="e">
        <f t="shared" si="1"/>
        <v>#DIV/0!</v>
      </c>
      <c r="H88" s="206"/>
    </row>
    <row r="89" spans="1:8" ht="15">
      <c r="A89" s="67" t="str">
        <f t="shared" si="0"/>
        <v>Developer Equity</v>
      </c>
      <c r="C89" s="206"/>
      <c r="D89" s="465"/>
      <c r="E89" s="22" t="e">
        <f t="shared" si="1"/>
        <v>#DIV/0!</v>
      </c>
      <c r="G89" s="18"/>
      <c r="H89" s="206"/>
    </row>
    <row r="90" spans="1:8" ht="15">
      <c r="A90" s="67" t="str">
        <f t="shared" si="0"/>
        <v>Deferred Developer's Fee</v>
      </c>
      <c r="C90" s="206"/>
      <c r="D90" s="465"/>
      <c r="E90" s="22" t="e">
        <f t="shared" si="1"/>
        <v>#DIV/0!</v>
      </c>
      <c r="G90" s="18"/>
      <c r="H90" s="206"/>
    </row>
    <row r="91" spans="1:8" ht="15">
      <c r="A91" s="67" t="str">
        <f t="shared" si="0"/>
        <v>Other source (Specify:                                )</v>
      </c>
      <c r="C91" s="206"/>
      <c r="D91" s="466"/>
      <c r="E91" s="22" t="e">
        <f t="shared" si="1"/>
        <v>#DIV/0!</v>
      </c>
      <c r="G91" s="18"/>
      <c r="H91" s="206"/>
    </row>
    <row r="92" spans="1:8" ht="15.75">
      <c r="A92" s="1305" t="s">
        <v>574</v>
      </c>
      <c r="C92" s="206"/>
      <c r="D92" s="551">
        <f>SUM(D85:D91)</f>
        <v>0</v>
      </c>
      <c r="E92" s="22" t="e">
        <f>SUM(E85:E91)</f>
        <v>#DIV/0!</v>
      </c>
      <c r="G92" s="18"/>
      <c r="H92" s="206"/>
    </row>
    <row r="93" spans="3:9" ht="15">
      <c r="C93" s="206"/>
      <c r="D93" s="180" t="s">
        <v>119</v>
      </c>
      <c r="G93" s="168"/>
      <c r="H93" s="214"/>
      <c r="I93" s="214"/>
    </row>
    <row r="94" spans="1:9" ht="15.75">
      <c r="A94" s="1" t="s">
        <v>76</v>
      </c>
      <c r="B94" s="18"/>
      <c r="C94" s="208"/>
      <c r="D94" s="187"/>
      <c r="E94" s="21"/>
      <c r="F94" s="91"/>
      <c r="G94" s="168"/>
      <c r="H94" s="214"/>
      <c r="I94" s="214"/>
    </row>
    <row r="95" spans="1:9" ht="15">
      <c r="A95" s="67" t="s">
        <v>497</v>
      </c>
      <c r="B95" s="18"/>
      <c r="C95" s="208"/>
      <c r="D95" s="188" t="e">
        <f>FIRST</f>
        <v>#DIV/0!</v>
      </c>
      <c r="E95" s="22" t="e">
        <f>D95/$D$79</f>
        <v>#DIV/0!</v>
      </c>
      <c r="F95" s="91"/>
      <c r="G95" s="168"/>
      <c r="H95" s="214"/>
      <c r="I95" s="214"/>
    </row>
    <row r="96" spans="1:9" ht="15">
      <c r="A96" s="67" t="s">
        <v>498</v>
      </c>
      <c r="B96" s="18"/>
      <c r="C96" s="208"/>
      <c r="D96" s="188">
        <f>'1. Mort'!I29</f>
        <v>0</v>
      </c>
      <c r="E96" s="22" t="e">
        <f aca="true" t="shared" si="2" ref="E96:E101">D96/$D$79</f>
        <v>#DIV/0!</v>
      </c>
      <c r="F96" s="168"/>
      <c r="G96" s="168"/>
      <c r="H96" s="1268"/>
      <c r="I96" s="214"/>
    </row>
    <row r="97" spans="1:9" ht="15">
      <c r="A97" s="67" t="s">
        <v>499</v>
      </c>
      <c r="B97" s="18"/>
      <c r="C97" s="208"/>
      <c r="D97" s="188">
        <f>'1. Mort'!J29</f>
        <v>0</v>
      </c>
      <c r="E97" s="22" t="e">
        <f t="shared" si="2"/>
        <v>#DIV/0!</v>
      </c>
      <c r="F97" s="176"/>
      <c r="G97" s="168"/>
      <c r="H97" s="214"/>
      <c r="I97" s="214"/>
    </row>
    <row r="98" spans="1:9" ht="15">
      <c r="A98" s="753" t="s">
        <v>248</v>
      </c>
      <c r="B98" s="18"/>
      <c r="C98" s="208"/>
      <c r="D98" s="188">
        <f>'1. Mort'!K29</f>
        <v>0</v>
      </c>
      <c r="E98" s="22" t="e">
        <f t="shared" si="2"/>
        <v>#DIV/0!</v>
      </c>
      <c r="F98" s="168"/>
      <c r="G98" s="1269"/>
      <c r="H98" s="214"/>
      <c r="I98" s="214"/>
    </row>
    <row r="99" spans="1:9" ht="15.75">
      <c r="A99" s="67" t="s">
        <v>249</v>
      </c>
      <c r="B99" s="18"/>
      <c r="C99" s="208"/>
      <c r="D99" s="465"/>
      <c r="E99" s="22" t="e">
        <f>D99/$D$79</f>
        <v>#DIV/0!</v>
      </c>
      <c r="F99" s="205"/>
      <c r="G99" s="1270"/>
      <c r="H99" s="214"/>
      <c r="I99" s="214"/>
    </row>
    <row r="100" spans="1:9" ht="15.75">
      <c r="A100" s="67" t="s">
        <v>70</v>
      </c>
      <c r="B100" s="18"/>
      <c r="C100" s="208"/>
      <c r="D100" s="465"/>
      <c r="E100" s="22" t="e">
        <f t="shared" si="2"/>
        <v>#DIV/0!</v>
      </c>
      <c r="F100" s="205"/>
      <c r="G100" s="1270"/>
      <c r="H100" s="214"/>
      <c r="I100" s="214"/>
    </row>
    <row r="101" spans="1:9" ht="15.75">
      <c r="A101" s="753" t="s">
        <v>357</v>
      </c>
      <c r="B101" s="18"/>
      <c r="C101" s="208"/>
      <c r="D101" s="466"/>
      <c r="E101" s="22" t="e">
        <f t="shared" si="2"/>
        <v>#DIV/0!</v>
      </c>
      <c r="F101" s="205"/>
      <c r="G101" s="1270"/>
      <c r="H101" s="214"/>
      <c r="I101" s="214"/>
    </row>
    <row r="102" spans="1:9" ht="15.75">
      <c r="A102" s="1305" t="str">
        <f>A92</f>
        <v>TOTAL</v>
      </c>
      <c r="B102" s="72"/>
      <c r="C102" s="208"/>
      <c r="D102" s="188" t="e">
        <f>SUM(D95:D101)</f>
        <v>#DIV/0!</v>
      </c>
      <c r="E102" s="22" t="e">
        <f>SUM(E95:E101)</f>
        <v>#DIV/0!</v>
      </c>
      <c r="F102" s="91"/>
      <c r="G102" s="214"/>
      <c r="H102" s="214"/>
      <c r="I102" s="214"/>
    </row>
    <row r="103" spans="1:9" ht="15.75">
      <c r="A103" s="18"/>
      <c r="B103" s="72"/>
      <c r="C103" s="209"/>
      <c r="D103" s="189"/>
      <c r="E103" s="22"/>
      <c r="F103" s="205"/>
      <c r="G103" s="168"/>
      <c r="H103" s="214"/>
      <c r="I103" s="214"/>
    </row>
    <row r="104" spans="1:9" ht="15">
      <c r="A104" s="18"/>
      <c r="B104" s="18"/>
      <c r="C104" s="208"/>
      <c r="D104" s="185"/>
      <c r="E104" s="22"/>
      <c r="F104" s="91"/>
      <c r="G104" s="214"/>
      <c r="H104" s="214"/>
      <c r="I104" s="214"/>
    </row>
    <row r="105" spans="1:9" ht="15">
      <c r="A105" s="18"/>
      <c r="B105" s="18"/>
      <c r="C105" s="208"/>
      <c r="D105" s="181"/>
      <c r="E105" s="21"/>
      <c r="F105" s="91"/>
      <c r="G105" s="214"/>
      <c r="H105" s="214"/>
      <c r="I105" s="214"/>
    </row>
    <row r="106" spans="1:9" ht="15">
      <c r="A106" s="18"/>
      <c r="B106" s="18"/>
      <c r="C106" s="208"/>
      <c r="D106" s="1271"/>
      <c r="E106" s="18"/>
      <c r="F106" s="1272"/>
      <c r="G106" s="214"/>
      <c r="H106" s="214"/>
      <c r="I106" s="214"/>
    </row>
    <row r="107" spans="1:3" ht="15">
      <c r="A107" s="18"/>
      <c r="B107" s="1273"/>
      <c r="C107" s="206"/>
    </row>
    <row r="108" ht="15">
      <c r="C108" s="206"/>
    </row>
    <row r="109" ht="15">
      <c r="C109" s="206"/>
    </row>
    <row r="110" ht="15">
      <c r="C110" s="206"/>
    </row>
    <row r="111" ht="15">
      <c r="C111" s="206"/>
    </row>
  </sheetData>
  <sheetProtection/>
  <printOptions/>
  <pageMargins left="0.75" right="0.5" top="0.75" bottom="0.5" header="0.5" footer="0.5"/>
  <pageSetup firstPageNumber="207" useFirstPageNumber="1" fitToHeight="1" fitToWidth="1" horizontalDpi="600" verticalDpi="600" orientation="portrait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97"/>
  <sheetViews>
    <sheetView zoomScale="70" zoomScaleNormal="70" zoomScalePageLayoutView="0" workbookViewId="0" topLeftCell="A1">
      <selection activeCell="A4" sqref="A4"/>
    </sheetView>
  </sheetViews>
  <sheetFormatPr defaultColWidth="8.88671875" defaultRowHeight="15"/>
  <cols>
    <col min="1" max="1" width="27.10546875" style="44" bestFit="1" customWidth="1"/>
    <col min="2" max="2" width="14.99609375" style="44" customWidth="1"/>
    <col min="3" max="3" width="14.6640625" style="44" customWidth="1"/>
    <col min="4" max="4" width="17.5546875" style="44" customWidth="1"/>
    <col min="5" max="5" width="10.88671875" style="44" customWidth="1"/>
    <col min="6" max="6" width="15.88671875" style="44" customWidth="1"/>
    <col min="7" max="7" width="11.77734375" style="44" bestFit="1" customWidth="1"/>
    <col min="8" max="8" width="12.88671875" style="44" customWidth="1"/>
    <col min="9" max="16384" width="8.88671875" style="44" customWidth="1"/>
  </cols>
  <sheetData>
    <row r="1" spans="1:6" ht="15.75">
      <c r="A1" s="1" t="str">
        <f>'1. Devel. Bud'!A1</f>
        <v>Willets Point Phase 1 Development</v>
      </c>
      <c r="E1" s="429"/>
      <c r="F1" s="429"/>
    </row>
    <row r="2" spans="1:6" ht="15.75">
      <c r="A2" s="1" t="str">
        <f>'1. Devel. Bud'!A2</f>
        <v>Building 1</v>
      </c>
      <c r="E2" s="429" t="str">
        <f>'1. Sources and Use'!C2</f>
        <v>Units:</v>
      </c>
      <c r="F2" s="429">
        <f>'1. Units &amp; Income'!B24</f>
        <v>0</v>
      </c>
    </row>
    <row r="3" spans="1:5" ht="15.75">
      <c r="A3" s="32"/>
      <c r="B3" s="92"/>
      <c r="C3" s="92"/>
      <c r="D3" s="92"/>
      <c r="E3" s="93"/>
    </row>
    <row r="4" spans="1:5" ht="15.75">
      <c r="A4" s="32" t="s">
        <v>202</v>
      </c>
      <c r="B4" s="92"/>
      <c r="C4" s="92"/>
      <c r="D4" s="92"/>
      <c r="E4" s="93"/>
    </row>
    <row r="5" spans="1:5" ht="15.75">
      <c r="A5" s="32"/>
      <c r="B5" s="92"/>
      <c r="C5" s="92"/>
      <c r="D5" s="92"/>
      <c r="E5" s="93"/>
    </row>
    <row r="6" spans="1:5" ht="15.75">
      <c r="A6" s="32"/>
      <c r="B6" s="92"/>
      <c r="C6" s="92"/>
      <c r="D6" s="92"/>
      <c r="E6" s="93"/>
    </row>
    <row r="7" spans="1:3" ht="15.75">
      <c r="A7" s="31" t="s">
        <v>138</v>
      </c>
      <c r="B7" s="107"/>
      <c r="C7" s="97" t="s">
        <v>137</v>
      </c>
    </row>
    <row r="8" spans="1:3" ht="15">
      <c r="A8" s="97" t="s">
        <v>101</v>
      </c>
      <c r="B8" s="435" t="e">
        <f>'1. Devel. Bud'!D95</f>
        <v>#DIV/0!</v>
      </c>
      <c r="C8" s="100" t="e">
        <f>B8/B10</f>
        <v>#DIV/0!</v>
      </c>
    </row>
    <row r="9" spans="1:3" ht="15">
      <c r="A9" s="97" t="s">
        <v>102</v>
      </c>
      <c r="B9" s="94" t="e">
        <f>B10-B8</f>
        <v>#DIV/0!</v>
      </c>
      <c r="C9" s="100" t="e">
        <f>B9/B10</f>
        <v>#DIV/0!</v>
      </c>
    </row>
    <row r="10" spans="1:3" ht="15.75">
      <c r="A10" s="97" t="s">
        <v>100</v>
      </c>
      <c r="B10" s="261">
        <f>'1. Devel. Bud'!D85</f>
        <v>0</v>
      </c>
      <c r="C10" s="92"/>
    </row>
    <row r="11" spans="1:3" ht="15.75">
      <c r="A11" s="108"/>
      <c r="B11" s="92"/>
      <c r="C11" s="92"/>
    </row>
    <row r="12" spans="1:3" ht="15.75">
      <c r="A12" s="108"/>
      <c r="B12" s="92"/>
      <c r="C12" s="92"/>
    </row>
    <row r="13" spans="1:3" ht="15.75">
      <c r="A13" s="112" t="s">
        <v>42</v>
      </c>
      <c r="B13" s="97" t="s">
        <v>139</v>
      </c>
      <c r="C13" s="97" t="s">
        <v>140</v>
      </c>
    </row>
    <row r="14" spans="1:5" ht="15">
      <c r="A14" s="97" t="s">
        <v>141</v>
      </c>
      <c r="B14" s="111"/>
      <c r="C14" s="524">
        <f>B14/12</f>
        <v>0</v>
      </c>
      <c r="D14" s="92"/>
      <c r="E14" s="93"/>
    </row>
    <row r="15" spans="1:5" ht="15">
      <c r="A15" s="97" t="s">
        <v>142</v>
      </c>
      <c r="B15" s="111"/>
      <c r="C15" s="524">
        <f>B15/12</f>
        <v>0</v>
      </c>
      <c r="D15" s="92"/>
      <c r="E15" s="93"/>
    </row>
    <row r="16" spans="1:5" ht="15">
      <c r="A16" s="97" t="s">
        <v>143</v>
      </c>
      <c r="B16" s="44">
        <f>B14+B15</f>
        <v>0</v>
      </c>
      <c r="C16" s="524">
        <f>B16/12</f>
        <v>0</v>
      </c>
      <c r="D16" s="92"/>
      <c r="E16" s="93"/>
    </row>
    <row r="17" spans="1:5" ht="15">
      <c r="A17" s="97"/>
      <c r="C17" s="92"/>
      <c r="D17" s="92"/>
      <c r="E17" s="93"/>
    </row>
    <row r="18" spans="1:5" ht="15">
      <c r="A18" s="97"/>
      <c r="C18" s="92"/>
      <c r="D18" s="92"/>
      <c r="E18" s="93"/>
    </row>
    <row r="19" spans="1:6" ht="15.75">
      <c r="A19" s="112" t="s">
        <v>322</v>
      </c>
      <c r="C19" s="92"/>
      <c r="D19" s="92"/>
      <c r="E19" s="522"/>
      <c r="F19" s="522"/>
    </row>
    <row r="20" spans="1:5" ht="15">
      <c r="A20" s="113" t="s">
        <v>235</v>
      </c>
      <c r="B20" s="110"/>
      <c r="C20" s="95"/>
      <c r="D20" s="521"/>
      <c r="E20" s="93"/>
    </row>
    <row r="21" spans="1:5" ht="15">
      <c r="A21" s="113" t="s">
        <v>236</v>
      </c>
      <c r="B21" s="110"/>
      <c r="C21" s="96"/>
      <c r="D21" s="97"/>
      <c r="E21" s="93"/>
    </row>
    <row r="22" spans="1:5" ht="15">
      <c r="A22" s="113" t="s">
        <v>284</v>
      </c>
      <c r="B22" s="110"/>
      <c r="C22" s="367"/>
      <c r="D22" s="92"/>
      <c r="E22" s="93"/>
    </row>
    <row r="23" spans="1:5" ht="15">
      <c r="A23" s="113" t="s">
        <v>285</v>
      </c>
      <c r="B23" s="110"/>
      <c r="C23" s="367"/>
      <c r="D23" s="92"/>
      <c r="E23" s="93"/>
    </row>
    <row r="24" spans="1:5" ht="15">
      <c r="A24" s="113" t="s">
        <v>286</v>
      </c>
      <c r="B24" s="110"/>
      <c r="C24" s="367"/>
      <c r="D24" s="92"/>
      <c r="E24" s="93"/>
    </row>
    <row r="25" spans="1:5" ht="15">
      <c r="A25" s="92"/>
      <c r="B25" s="93"/>
      <c r="C25" s="367"/>
      <c r="D25" s="92"/>
      <c r="E25" s="93"/>
    </row>
    <row r="26" spans="1:5" ht="15.75">
      <c r="A26" s="160" t="s">
        <v>144</v>
      </c>
      <c r="B26" s="161"/>
      <c r="C26" s="162"/>
      <c r="D26" s="163"/>
      <c r="E26" s="161"/>
    </row>
    <row r="27" spans="1:5" ht="15">
      <c r="A27" s="164" t="s">
        <v>323</v>
      </c>
      <c r="B27" s="165">
        <v>0</v>
      </c>
      <c r="C27" s="163"/>
      <c r="D27" s="163"/>
      <c r="E27" s="161"/>
    </row>
    <row r="28" spans="1:5" ht="15">
      <c r="A28" s="166" t="s">
        <v>321</v>
      </c>
      <c r="B28" s="165">
        <v>0</v>
      </c>
      <c r="C28" s="163"/>
      <c r="D28" s="163"/>
      <c r="E28" s="161"/>
    </row>
    <row r="29" spans="1:5" ht="15">
      <c r="A29" s="164" t="s">
        <v>144</v>
      </c>
      <c r="B29" s="167">
        <f>SUM(B27:B28)</f>
        <v>0</v>
      </c>
      <c r="C29" s="163"/>
      <c r="D29" s="163"/>
      <c r="E29" s="161"/>
    </row>
    <row r="30" spans="1:5" ht="15">
      <c r="A30" s="164"/>
      <c r="B30" s="162"/>
      <c r="C30" s="163"/>
      <c r="D30" s="163"/>
      <c r="E30" s="161"/>
    </row>
    <row r="31" spans="1:5" ht="15">
      <c r="A31" s="97"/>
      <c r="C31" s="92"/>
      <c r="D31" s="92"/>
      <c r="E31" s="93"/>
    </row>
    <row r="32" spans="1:5" ht="15.75">
      <c r="A32" s="112" t="s">
        <v>154</v>
      </c>
      <c r="C32" s="92"/>
      <c r="D32" s="92"/>
      <c r="E32" s="93"/>
    </row>
    <row r="33" spans="1:5" ht="15.75">
      <c r="A33" s="112"/>
      <c r="C33" s="92"/>
      <c r="D33" s="92"/>
      <c r="E33" s="93"/>
    </row>
    <row r="34" spans="1:6" ht="15.75">
      <c r="A34" s="108" t="s">
        <v>148</v>
      </c>
      <c r="B34" s="114" t="s">
        <v>146</v>
      </c>
      <c r="C34" s="114" t="s">
        <v>67</v>
      </c>
      <c r="D34" s="115" t="s">
        <v>149</v>
      </c>
      <c r="E34" s="115" t="s">
        <v>147</v>
      </c>
      <c r="F34" s="117" t="s">
        <v>150</v>
      </c>
    </row>
    <row r="35" spans="1:6" ht="15">
      <c r="A35" s="97" t="s">
        <v>287</v>
      </c>
      <c r="B35" s="45" t="e">
        <f>B9</f>
        <v>#DIV/0!</v>
      </c>
      <c r="C35" s="116">
        <v>0.5</v>
      </c>
      <c r="D35" s="550">
        <f>C14</f>
        <v>0</v>
      </c>
      <c r="E35" s="95">
        <f>B21</f>
        <v>0</v>
      </c>
      <c r="F35" s="71" t="e">
        <f aca="true" t="shared" si="0" ref="F35:F41">B35*C35*D35*E35</f>
        <v>#DIV/0!</v>
      </c>
    </row>
    <row r="36" spans="1:6" ht="15">
      <c r="A36" s="97"/>
      <c r="B36" s="45" t="e">
        <f>B9</f>
        <v>#DIV/0!</v>
      </c>
      <c r="C36" s="116">
        <v>1</v>
      </c>
      <c r="D36" s="550">
        <f>C15</f>
        <v>0</v>
      </c>
      <c r="E36" s="95">
        <f>B21</f>
        <v>0</v>
      </c>
      <c r="F36" s="71" t="e">
        <f t="shared" si="0"/>
        <v>#DIV/0!</v>
      </c>
    </row>
    <row r="37" spans="1:6" ht="15">
      <c r="A37" s="97" t="s">
        <v>288</v>
      </c>
      <c r="B37" s="45" t="e">
        <f>B8</f>
        <v>#DIV/0!</v>
      </c>
      <c r="C37" s="116">
        <v>0.5</v>
      </c>
      <c r="D37" s="550">
        <f>C14</f>
        <v>0</v>
      </c>
      <c r="E37" s="95">
        <f>B20</f>
        <v>0</v>
      </c>
      <c r="F37" s="71" t="e">
        <f t="shared" si="0"/>
        <v>#DIV/0!</v>
      </c>
    </row>
    <row r="38" spans="1:6" ht="15">
      <c r="A38" s="97"/>
      <c r="B38" s="45" t="e">
        <f>B8</f>
        <v>#DIV/0!</v>
      </c>
      <c r="C38" s="116">
        <v>1</v>
      </c>
      <c r="D38" s="550">
        <f>C15</f>
        <v>0</v>
      </c>
      <c r="E38" s="95">
        <f>B20</f>
        <v>0</v>
      </c>
      <c r="F38" s="71" t="e">
        <f t="shared" si="0"/>
        <v>#DIV/0!</v>
      </c>
    </row>
    <row r="39" spans="1:6" ht="15">
      <c r="A39" s="97" t="str">
        <f>A22</f>
        <v>2nd Construction</v>
      </c>
      <c r="B39" s="45">
        <f>'1. Devel. Bud'!D86</f>
        <v>0</v>
      </c>
      <c r="C39" s="116">
        <v>1</v>
      </c>
      <c r="D39" s="576">
        <f>B22</f>
        <v>0</v>
      </c>
      <c r="E39" s="95">
        <f>B22</f>
        <v>0</v>
      </c>
      <c r="F39" s="71">
        <f t="shared" si="0"/>
        <v>0</v>
      </c>
    </row>
    <row r="40" spans="1:6" ht="15">
      <c r="A40" s="97" t="str">
        <f>A23</f>
        <v>3rd Construction</v>
      </c>
      <c r="B40" s="45">
        <f>'1. Devel. Bud'!D87</f>
        <v>0</v>
      </c>
      <c r="C40" s="116">
        <v>1</v>
      </c>
      <c r="D40" s="576">
        <f>B23</f>
        <v>0</v>
      </c>
      <c r="E40" s="95">
        <f>B23</f>
        <v>0</v>
      </c>
      <c r="F40" s="71">
        <f t="shared" si="0"/>
        <v>0</v>
      </c>
    </row>
    <row r="41" spans="1:6" ht="15">
      <c r="A41" s="97" t="str">
        <f>A24</f>
        <v>4th Construction</v>
      </c>
      <c r="B41" s="45">
        <f>'1. Devel. Bud'!D88</f>
        <v>0</v>
      </c>
      <c r="C41" s="116">
        <v>1</v>
      </c>
      <c r="D41" s="576">
        <f>B24</f>
        <v>0</v>
      </c>
      <c r="E41" s="95">
        <f>B24</f>
        <v>0</v>
      </c>
      <c r="F41" s="71">
        <f t="shared" si="0"/>
        <v>0</v>
      </c>
    </row>
    <row r="42" spans="3:6" ht="15.75">
      <c r="C42" s="92"/>
      <c r="D42" s="92"/>
      <c r="E42" s="108" t="s">
        <v>151</v>
      </c>
      <c r="F42" s="118" t="e">
        <f>SUM(F35:F41)</f>
        <v>#DIV/0!</v>
      </c>
    </row>
    <row r="43" spans="1:6" ht="15.75">
      <c r="A43" s="112"/>
      <c r="C43" s="92"/>
      <c r="D43" s="92"/>
      <c r="E43" s="93"/>
      <c r="F43" s="71"/>
    </row>
    <row r="44" spans="1:5" ht="15.75">
      <c r="A44" s="112"/>
      <c r="C44" s="92"/>
      <c r="D44" s="92"/>
      <c r="E44" s="93"/>
    </row>
    <row r="45" spans="1:6" ht="15.75">
      <c r="A45" s="108" t="s">
        <v>144</v>
      </c>
      <c r="B45" s="114" t="s">
        <v>146</v>
      </c>
      <c r="C45" s="114" t="s">
        <v>67</v>
      </c>
      <c r="D45" s="115" t="s">
        <v>149</v>
      </c>
      <c r="E45" s="115" t="s">
        <v>147</v>
      </c>
      <c r="F45" s="117" t="s">
        <v>150</v>
      </c>
    </row>
    <row r="46" spans="1:6" ht="15">
      <c r="A46" s="97" t="s">
        <v>152</v>
      </c>
      <c r="B46" s="45">
        <f>B10</f>
        <v>0</v>
      </c>
      <c r="C46" s="116">
        <v>0.5</v>
      </c>
      <c r="D46" s="550">
        <f>C14</f>
        <v>0</v>
      </c>
      <c r="E46" s="95">
        <f>B29</f>
        <v>0</v>
      </c>
      <c r="F46" s="71">
        <f>B46*C46*D46*E46</f>
        <v>0</v>
      </c>
    </row>
    <row r="47" spans="1:6" ht="15">
      <c r="A47" s="97"/>
      <c r="B47" s="45">
        <f>B10</f>
        <v>0</v>
      </c>
      <c r="C47" s="116">
        <v>1</v>
      </c>
      <c r="D47" s="550">
        <f>C15</f>
        <v>0</v>
      </c>
      <c r="E47" s="95">
        <f>B29</f>
        <v>0</v>
      </c>
      <c r="F47" s="71">
        <f>B47*C47*D47*E47</f>
        <v>0</v>
      </c>
    </row>
    <row r="48" spans="1:6" ht="15">
      <c r="A48" s="97" t="s">
        <v>54</v>
      </c>
      <c r="B48" s="45">
        <f>'1. Devel. Bud'!D86</f>
        <v>0</v>
      </c>
      <c r="C48" s="116">
        <v>1</v>
      </c>
      <c r="D48" s="550">
        <f>C16</f>
        <v>0</v>
      </c>
      <c r="E48" s="95">
        <f>B22</f>
        <v>0</v>
      </c>
      <c r="F48" s="71">
        <f>B48*C48*D48*E48</f>
        <v>0</v>
      </c>
    </row>
    <row r="49" spans="1:6" ht="15">
      <c r="A49" s="97" t="s">
        <v>145</v>
      </c>
      <c r="B49" s="45">
        <f>'1. Devel. Bud'!D87</f>
        <v>0</v>
      </c>
      <c r="C49" s="116">
        <v>1</v>
      </c>
      <c r="D49" s="550">
        <f>C16</f>
        <v>0</v>
      </c>
      <c r="E49" s="95">
        <f>B23</f>
        <v>0</v>
      </c>
      <c r="F49" s="71">
        <f>B49*C49*D49*E49</f>
        <v>0</v>
      </c>
    </row>
    <row r="50" spans="3:6" ht="15.75">
      <c r="C50" s="92"/>
      <c r="D50" s="92"/>
      <c r="E50" s="108" t="s">
        <v>153</v>
      </c>
      <c r="F50" s="118">
        <f>SUM(F46:F49)</f>
        <v>0</v>
      </c>
    </row>
    <row r="51" spans="1:5" ht="15">
      <c r="A51" s="92"/>
      <c r="B51" s="92"/>
      <c r="C51" s="92"/>
      <c r="D51" s="92"/>
      <c r="E51" s="93"/>
    </row>
    <row r="52" spans="1:8" ht="15">
      <c r="A52" s="75"/>
      <c r="B52" s="75"/>
      <c r="C52" s="75"/>
      <c r="D52" s="75"/>
      <c r="E52" s="106"/>
      <c r="F52" s="75"/>
      <c r="G52" s="92"/>
      <c r="H52" s="92"/>
    </row>
    <row r="53" ht="15.75">
      <c r="A53" s="31" t="s">
        <v>133</v>
      </c>
    </row>
    <row r="54" spans="1:2" s="31" customFormat="1" ht="15.75">
      <c r="A54" s="46" t="s">
        <v>158</v>
      </c>
      <c r="B54" s="41"/>
    </row>
    <row r="55" s="31" customFormat="1" ht="15.75">
      <c r="B55" s="41"/>
    </row>
    <row r="56" spans="1:2" s="31" customFormat="1" ht="15.75">
      <c r="A56" s="113" t="s">
        <v>157</v>
      </c>
      <c r="B56" s="119"/>
    </row>
    <row r="57" s="31" customFormat="1" ht="15.75">
      <c r="B57" s="41"/>
    </row>
    <row r="58" s="31" customFormat="1" ht="15.75">
      <c r="B58" s="41"/>
    </row>
    <row r="59" spans="2:3" ht="17.25" customHeight="1">
      <c r="B59" s="120" t="s">
        <v>207</v>
      </c>
      <c r="C59" s="120" t="s">
        <v>206</v>
      </c>
    </row>
    <row r="60" spans="1:3" ht="15">
      <c r="A60" s="107" t="s">
        <v>155</v>
      </c>
      <c r="B60" s="230">
        <f>B21</f>
        <v>0</v>
      </c>
      <c r="C60" s="77">
        <f>B20</f>
        <v>0</v>
      </c>
    </row>
    <row r="61" spans="1:3" ht="15">
      <c r="A61" s="97" t="s">
        <v>102</v>
      </c>
      <c r="B61" s="45" t="e">
        <f>B9</f>
        <v>#DIV/0!</v>
      </c>
      <c r="C61" s="182" t="e">
        <f>B8</f>
        <v>#DIV/0!</v>
      </c>
    </row>
    <row r="62" spans="1:3" ht="15">
      <c r="A62" s="107" t="s">
        <v>67</v>
      </c>
      <c r="B62" s="76">
        <v>0.5</v>
      </c>
      <c r="C62" s="76">
        <v>0.5</v>
      </c>
    </row>
    <row r="63" spans="1:3" ht="15">
      <c r="A63" s="107" t="s">
        <v>103</v>
      </c>
      <c r="B63" s="101">
        <f>B60-B56</f>
        <v>0</v>
      </c>
      <c r="C63" s="101">
        <f>C60-B56</f>
        <v>0</v>
      </c>
    </row>
    <row r="64" spans="1:3" ht="15">
      <c r="A64" s="107" t="s">
        <v>156</v>
      </c>
      <c r="B64" s="44">
        <v>1.5</v>
      </c>
      <c r="C64" s="44">
        <v>1.5</v>
      </c>
    </row>
    <row r="65" spans="1:4" ht="15">
      <c r="A65" s="107"/>
      <c r="B65" s="71" t="e">
        <f>B61*B62*B63*B64</f>
        <v>#DIV/0!</v>
      </c>
      <c r="C65" s="71" t="e">
        <f>C61*C62*C63*C64</f>
        <v>#DIV/0!</v>
      </c>
      <c r="D65" s="71"/>
    </row>
    <row r="66" ht="15">
      <c r="A66" s="107"/>
    </row>
    <row r="67" spans="1:2" ht="15.75">
      <c r="A67" s="108" t="s">
        <v>53</v>
      </c>
      <c r="B67" s="262" t="e">
        <f>B65+C65</f>
        <v>#DIV/0!</v>
      </c>
    </row>
    <row r="68" spans="1:2" ht="15.75">
      <c r="A68" s="32"/>
      <c r="B68" s="92"/>
    </row>
    <row r="69" spans="1:2" ht="15.75">
      <c r="A69" s="32"/>
      <c r="B69" s="92"/>
    </row>
    <row r="70" spans="1:4" ht="15.75">
      <c r="A70" s="31" t="s">
        <v>203</v>
      </c>
      <c r="B70" s="13"/>
      <c r="D70" s="526"/>
    </row>
    <row r="71" spans="1:3" ht="15">
      <c r="A71" s="92"/>
      <c r="B71" s="92" t="s">
        <v>148</v>
      </c>
      <c r="C71" s="44" t="s">
        <v>144</v>
      </c>
    </row>
    <row r="72" spans="1:3" ht="15">
      <c r="A72" s="92" t="s">
        <v>138</v>
      </c>
      <c r="B72" s="92">
        <f>'1. Devel. Bud'!D85</f>
        <v>0</v>
      </c>
      <c r="C72" s="92">
        <f>'1. Devel. Bud'!D85</f>
        <v>0</v>
      </c>
    </row>
    <row r="73" spans="1:3" ht="15">
      <c r="A73" s="92" t="s">
        <v>204</v>
      </c>
      <c r="B73" s="92">
        <v>60</v>
      </c>
      <c r="C73" s="563">
        <v>35</v>
      </c>
    </row>
    <row r="74" spans="1:3" ht="15">
      <c r="A74" s="214" t="s">
        <v>147</v>
      </c>
      <c r="B74" s="592">
        <f>B20</f>
        <v>0</v>
      </c>
      <c r="C74" s="592">
        <f>B29</f>
        <v>0</v>
      </c>
    </row>
    <row r="75" spans="1:3" ht="15">
      <c r="A75" s="214" t="s">
        <v>205</v>
      </c>
      <c r="B75" s="259">
        <f>'1. Devel. Bud'!D85+('1. Devel. Bud'!D85*('1. Cons Int &amp; Neg Arb'!B73/360)*'1. Cons Int &amp; Neg Arb'!B74)</f>
        <v>0</v>
      </c>
      <c r="C75" s="259">
        <f>'1. Devel. Bud'!D85+('1. Devel. Bud'!D85*('1. Cons Int &amp; Neg Arb'!C73/365)*'1. Cons Int &amp; Neg Arb'!C74)</f>
        <v>0</v>
      </c>
    </row>
    <row r="76" spans="1:2" ht="15">
      <c r="A76" s="92"/>
      <c r="B76" s="98"/>
    </row>
    <row r="77" spans="1:2" ht="15">
      <c r="A77" s="92"/>
      <c r="B77" s="99"/>
    </row>
    <row r="78" spans="1:2" ht="15">
      <c r="A78" s="92"/>
      <c r="B78" s="92"/>
    </row>
    <row r="79" spans="1:2" ht="15">
      <c r="A79" s="92"/>
      <c r="B79" s="92"/>
    </row>
    <row r="80" spans="1:2" ht="15">
      <c r="A80" s="92"/>
      <c r="B80" s="102"/>
    </row>
    <row r="81" spans="1:2" ht="15">
      <c r="A81" s="92"/>
      <c r="B81" s="102"/>
    </row>
    <row r="82" spans="1:2" ht="15">
      <c r="A82" s="92"/>
      <c r="B82" s="102"/>
    </row>
    <row r="87" spans="1:2" ht="15">
      <c r="A87" s="92"/>
      <c r="B87" s="45"/>
    </row>
    <row r="88" spans="1:2" ht="15">
      <c r="A88" s="92"/>
      <c r="B88" s="76"/>
    </row>
    <row r="89" spans="1:2" ht="15">
      <c r="A89" s="92"/>
      <c r="B89" s="103"/>
    </row>
    <row r="90" ht="15">
      <c r="A90" s="92"/>
    </row>
    <row r="92" ht="15">
      <c r="B92" s="104"/>
    </row>
    <row r="94" ht="15">
      <c r="B94" s="105"/>
    </row>
    <row r="97" spans="1:2" ht="15.75">
      <c r="A97" s="31"/>
      <c r="B97" s="34"/>
    </row>
  </sheetData>
  <sheetProtection/>
  <printOptions/>
  <pageMargins left="0.75" right="0.5" top="0.75" bottom="0.5" header="0.5" footer="0.5"/>
  <pageSetup firstPageNumber="208" useFirstPageNumber="1" fitToHeight="1" fitToWidth="1" horizontalDpi="600" verticalDpi="600" orientation="portrait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1"/>
    <pageSetUpPr fitToPage="1"/>
  </sheetPr>
  <dimension ref="A1:S104"/>
  <sheetViews>
    <sheetView defaultGridColor="0" zoomScale="70" zoomScaleNormal="70" zoomScalePageLayoutView="0" colorId="22" workbookViewId="0" topLeftCell="A67">
      <selection activeCell="A4" sqref="A4"/>
    </sheetView>
  </sheetViews>
  <sheetFormatPr defaultColWidth="9.77734375" defaultRowHeight="15"/>
  <cols>
    <col min="1" max="1" width="17.3359375" style="92" customWidth="1"/>
    <col min="2" max="2" width="12.99609375" style="92" customWidth="1"/>
    <col min="3" max="3" width="14.88671875" style="92" customWidth="1"/>
    <col min="4" max="4" width="13.10546875" style="92" customWidth="1"/>
    <col min="5" max="5" width="11.77734375" style="92" customWidth="1"/>
    <col min="6" max="6" width="12.5546875" style="92" customWidth="1"/>
    <col min="7" max="8" width="11.77734375" style="92" customWidth="1"/>
    <col min="9" max="9" width="13.6640625" style="92" customWidth="1"/>
    <col min="10" max="10" width="10.99609375" style="92" customWidth="1"/>
    <col min="11" max="11" width="11.3359375" style="92" bestFit="1" customWidth="1"/>
    <col min="12" max="12" width="11.21484375" style="92" customWidth="1"/>
    <col min="13" max="16384" width="9.77734375" style="92" customWidth="1"/>
  </cols>
  <sheetData>
    <row r="1" spans="1:14" ht="15.75">
      <c r="A1" s="203" t="str">
        <f>'1. Sources and Use'!A1</f>
        <v>Willets Point Phase 1 Development</v>
      </c>
      <c r="B1" s="168"/>
      <c r="C1" s="214"/>
      <c r="D1" s="214"/>
      <c r="E1" s="214"/>
      <c r="H1" s="203"/>
      <c r="I1" s="203"/>
      <c r="J1" s="214"/>
      <c r="K1" s="214"/>
      <c r="L1" s="214"/>
      <c r="M1" s="214"/>
      <c r="N1" s="214"/>
    </row>
    <row r="2" spans="1:14" ht="15.75">
      <c r="A2" s="203" t="str">
        <f>'1. Sources and Use'!A2</f>
        <v>Building 1</v>
      </c>
      <c r="B2" s="168"/>
      <c r="C2" s="214"/>
      <c r="D2" s="214"/>
      <c r="E2" s="214"/>
      <c r="H2" s="730" t="s">
        <v>232</v>
      </c>
      <c r="I2" s="733">
        <f>B24</f>
        <v>0</v>
      </c>
      <c r="J2" s="214"/>
      <c r="K2" s="214"/>
      <c r="L2" s="214"/>
      <c r="M2" s="214"/>
      <c r="N2" s="214"/>
    </row>
    <row r="3" spans="1:14" ht="15.75">
      <c r="A3" s="203"/>
      <c r="B3" s="168"/>
      <c r="C3" s="214"/>
      <c r="D3" s="214"/>
      <c r="E3" s="214"/>
      <c r="H3" s="732" t="s">
        <v>484</v>
      </c>
      <c r="I3" s="733">
        <f>D24</f>
        <v>0</v>
      </c>
      <c r="J3" s="214"/>
      <c r="K3" s="214"/>
      <c r="L3" s="214"/>
      <c r="M3" s="214"/>
      <c r="N3" s="214"/>
    </row>
    <row r="4" spans="1:14" ht="15.75">
      <c r="A4" s="203" t="s">
        <v>658</v>
      </c>
      <c r="B4" s="168"/>
      <c r="C4" s="214"/>
      <c r="D4" s="214"/>
      <c r="E4" s="214"/>
      <c r="H4" s="32"/>
      <c r="I4" s="1369"/>
      <c r="J4" s="214"/>
      <c r="K4" s="214"/>
      <c r="L4" s="214"/>
      <c r="M4" s="214"/>
      <c r="N4" s="214"/>
    </row>
    <row r="5" spans="1:14" ht="15.75" thickBot="1">
      <c r="A5" s="268"/>
      <c r="B5" s="268"/>
      <c r="C5" s="268"/>
      <c r="D5" s="268"/>
      <c r="E5" s="268"/>
      <c r="F5" s="268"/>
      <c r="G5" s="268"/>
      <c r="H5" s="268"/>
      <c r="I5" s="268"/>
      <c r="J5" s="214"/>
      <c r="K5" s="214"/>
      <c r="L5" s="214"/>
      <c r="M5" s="214"/>
      <c r="N5" s="214"/>
    </row>
    <row r="6" spans="1:14" ht="18.75" customHeight="1" thickTop="1">
      <c r="A6" s="280" t="s">
        <v>373</v>
      </c>
      <c r="B6" s="196" t="s">
        <v>354</v>
      </c>
      <c r="C6" s="214"/>
      <c r="D6" s="580" t="s">
        <v>351</v>
      </c>
      <c r="E6" s="580" t="s">
        <v>352</v>
      </c>
      <c r="F6" s="581"/>
      <c r="G6" s="168"/>
      <c r="H6" s="214"/>
      <c r="I6" s="278"/>
      <c r="J6" s="214"/>
      <c r="K6" s="214"/>
      <c r="L6" s="214"/>
      <c r="M6" s="214"/>
      <c r="N6" s="214"/>
    </row>
    <row r="7" spans="1:14" ht="15.75">
      <c r="A7" s="284" t="e">
        <f>B7/$B$11</f>
        <v>#DIV/0!</v>
      </c>
      <c r="B7" s="438"/>
      <c r="C7" s="216" t="s">
        <v>347</v>
      </c>
      <c r="D7" s="586"/>
      <c r="E7" s="582">
        <f>D7*B7</f>
        <v>0</v>
      </c>
      <c r="F7" s="583"/>
      <c r="G7" s="168"/>
      <c r="H7" s="214"/>
      <c r="I7" s="274"/>
      <c r="J7" s="214"/>
      <c r="K7" s="214"/>
      <c r="L7" s="214"/>
      <c r="M7" s="214"/>
      <c r="N7" s="214"/>
    </row>
    <row r="8" spans="1:14" ht="15.75">
      <c r="A8" s="284" t="e">
        <f>B8/$B$11</f>
        <v>#DIV/0!</v>
      </c>
      <c r="B8" s="438"/>
      <c r="C8" s="216" t="s">
        <v>348</v>
      </c>
      <c r="D8" s="586"/>
      <c r="E8" s="582">
        <f>D8*B8</f>
        <v>0</v>
      </c>
      <c r="F8" s="583"/>
      <c r="G8" s="168"/>
      <c r="H8" s="214"/>
      <c r="I8" s="274"/>
      <c r="J8" s="214"/>
      <c r="K8" s="214"/>
      <c r="L8" s="214"/>
      <c r="M8" s="214"/>
      <c r="N8" s="214"/>
    </row>
    <row r="9" spans="1:14" ht="15.75">
      <c r="A9" s="284" t="e">
        <f>B9/$B$11</f>
        <v>#DIV/0!</v>
      </c>
      <c r="B9" s="438"/>
      <c r="C9" s="216" t="s">
        <v>349</v>
      </c>
      <c r="D9" s="586"/>
      <c r="E9" s="582">
        <f>D9*B9</f>
        <v>0</v>
      </c>
      <c r="F9" s="583"/>
      <c r="G9" s="168"/>
      <c r="H9" s="214"/>
      <c r="I9" s="274"/>
      <c r="J9" s="214"/>
      <c r="K9" s="214"/>
      <c r="L9" s="214"/>
      <c r="M9" s="214"/>
      <c r="N9" s="214"/>
    </row>
    <row r="10" spans="1:14" ht="15.75">
      <c r="A10" s="284" t="e">
        <f>B10/$B$11</f>
        <v>#DIV/0!</v>
      </c>
      <c r="B10" s="438"/>
      <c r="C10" s="216" t="s">
        <v>350</v>
      </c>
      <c r="D10" s="586"/>
      <c r="E10" s="582">
        <f>D10*B10</f>
        <v>0</v>
      </c>
      <c r="F10" s="583"/>
      <c r="G10" s="168"/>
      <c r="H10" s="214"/>
      <c r="I10" s="274"/>
      <c r="J10" s="214"/>
      <c r="K10" s="214"/>
      <c r="L10" s="214"/>
      <c r="M10" s="214"/>
      <c r="N10" s="214"/>
    </row>
    <row r="11" spans="1:14" ht="15.75">
      <c r="A11" s="285"/>
      <c r="B11" s="217">
        <f>SUM(B7:B10)</f>
        <v>0</v>
      </c>
      <c r="C11" s="219" t="s">
        <v>355</v>
      </c>
      <c r="D11" s="584"/>
      <c r="E11" s="584">
        <f>SUM(E7:E10)</f>
        <v>0</v>
      </c>
      <c r="F11" s="585" t="s">
        <v>353</v>
      </c>
      <c r="G11" s="168"/>
      <c r="H11" s="214"/>
      <c r="I11" s="274"/>
      <c r="J11" s="214"/>
      <c r="K11" s="214"/>
      <c r="L11" s="214"/>
      <c r="M11" s="214"/>
      <c r="N11" s="214"/>
    </row>
    <row r="12" spans="1:14" ht="15.75">
      <c r="A12" s="277"/>
      <c r="B12" s="196"/>
      <c r="D12" s="217"/>
      <c r="E12" s="381"/>
      <c r="F12" s="219"/>
      <c r="G12" s="168"/>
      <c r="H12" s="214"/>
      <c r="I12" s="274"/>
      <c r="J12" s="214"/>
      <c r="K12" s="214"/>
      <c r="L12" s="214"/>
      <c r="M12" s="214"/>
      <c r="N12" s="214"/>
    </row>
    <row r="13" spans="1:14" ht="15.75">
      <c r="A13" s="286"/>
      <c r="B13" s="287"/>
      <c r="C13" s="288"/>
      <c r="D13" s="289"/>
      <c r="E13" s="289"/>
      <c r="F13" s="382"/>
      <c r="G13" s="383"/>
      <c r="H13" s="279"/>
      <c r="I13" s="275"/>
      <c r="J13" s="214"/>
      <c r="K13" s="214"/>
      <c r="L13" s="214"/>
      <c r="M13" s="214"/>
      <c r="N13" s="214"/>
    </row>
    <row r="14" spans="1:14" ht="16.5" thickBot="1">
      <c r="A14" s="269"/>
      <c r="B14" s="270"/>
      <c r="C14" s="271"/>
      <c r="D14" s="272"/>
      <c r="E14" s="273"/>
      <c r="F14" s="242"/>
      <c r="G14" s="242"/>
      <c r="H14" s="268"/>
      <c r="I14" s="268"/>
      <c r="J14" s="214"/>
      <c r="K14" s="214"/>
      <c r="L14" s="214"/>
      <c r="M14" s="214"/>
      <c r="N14" s="214"/>
    </row>
    <row r="15" spans="1:14" ht="16.5" thickTop="1">
      <c r="A15" s="280" t="s">
        <v>372</v>
      </c>
      <c r="B15" s="196"/>
      <c r="C15" s="218"/>
      <c r="D15" s="217"/>
      <c r="E15" s="379"/>
      <c r="F15" s="214"/>
      <c r="G15" s="168"/>
      <c r="H15" s="214"/>
      <c r="I15" s="278"/>
      <c r="J15" s="214"/>
      <c r="K15" s="214"/>
      <c r="L15" s="214"/>
      <c r="M15" s="214"/>
      <c r="N15" s="214"/>
    </row>
    <row r="16" spans="1:14" ht="15" customHeight="1">
      <c r="A16" s="281"/>
      <c r="B16" s="196"/>
      <c r="C16" s="196"/>
      <c r="D16" s="196"/>
      <c r="E16" s="217" t="s">
        <v>189</v>
      </c>
      <c r="F16" s="263"/>
      <c r="G16" s="168"/>
      <c r="H16" s="214"/>
      <c r="I16" s="274"/>
      <c r="J16" s="214"/>
      <c r="K16" s="214"/>
      <c r="L16" s="214"/>
      <c r="M16" s="214"/>
      <c r="N16" s="214"/>
    </row>
    <row r="17" spans="1:14" ht="15.75">
      <c r="A17" s="169"/>
      <c r="B17" s="195" t="s">
        <v>371</v>
      </c>
      <c r="C17" s="195" t="s">
        <v>64</v>
      </c>
      <c r="D17" s="195" t="s">
        <v>126</v>
      </c>
      <c r="E17" s="217" t="s">
        <v>190</v>
      </c>
      <c r="F17" s="263"/>
      <c r="G17" s="593" t="s">
        <v>374</v>
      </c>
      <c r="H17" s="594" t="s">
        <v>375</v>
      </c>
      <c r="I17" s="274"/>
      <c r="J17" s="214"/>
      <c r="K17" s="214"/>
      <c r="L17" s="214"/>
      <c r="M17" s="214"/>
      <c r="N17" s="214"/>
    </row>
    <row r="18" spans="1:14" ht="15.75">
      <c r="A18" s="276" t="s">
        <v>63</v>
      </c>
      <c r="B18" s="527">
        <f>SUM(H54,H62,H70,H78,H86,H94)</f>
        <v>0</v>
      </c>
      <c r="C18" s="197">
        <v>2</v>
      </c>
      <c r="D18" s="197">
        <f>C18*B18</f>
        <v>0</v>
      </c>
      <c r="E18" s="438"/>
      <c r="F18" s="263"/>
      <c r="G18" s="1347">
        <f>H94</f>
        <v>0</v>
      </c>
      <c r="H18" s="1348">
        <f>H54+H62+H70+H86</f>
        <v>0</v>
      </c>
      <c r="I18" s="274"/>
      <c r="J18" s="214"/>
      <c r="K18" s="214"/>
      <c r="L18" s="214"/>
      <c r="M18" s="214"/>
      <c r="N18" s="214"/>
    </row>
    <row r="19" spans="1:14" ht="15.75">
      <c r="A19" s="276" t="s">
        <v>331</v>
      </c>
      <c r="B19" s="527">
        <f>SUM(H55,H63,H71,H79,H87,H95)</f>
        <v>0</v>
      </c>
      <c r="C19" s="197">
        <v>3</v>
      </c>
      <c r="D19" s="197">
        <f>B19*C19</f>
        <v>0</v>
      </c>
      <c r="E19" s="438"/>
      <c r="F19" s="263"/>
      <c r="G19" s="1349">
        <f>H95</f>
        <v>0</v>
      </c>
      <c r="H19" s="1350">
        <f>H55+H63+H71+H87</f>
        <v>0</v>
      </c>
      <c r="I19" s="274"/>
      <c r="J19" s="214"/>
      <c r="K19" s="214"/>
      <c r="L19" s="214"/>
      <c r="M19" s="214"/>
      <c r="N19" s="214"/>
    </row>
    <row r="20" spans="1:14" ht="15.75">
      <c r="A20" s="276" t="s">
        <v>332</v>
      </c>
      <c r="B20" s="527">
        <f>SUM(H56,H64,H72,H80,H88,H96)</f>
        <v>0</v>
      </c>
      <c r="C20" s="197">
        <v>4</v>
      </c>
      <c r="D20" s="198">
        <f>B20*C20</f>
        <v>0</v>
      </c>
      <c r="E20" s="438"/>
      <c r="F20" s="219"/>
      <c r="G20" s="1349">
        <f>H96</f>
        <v>0</v>
      </c>
      <c r="H20" s="1350">
        <f>H56+H64+H72+H88</f>
        <v>0</v>
      </c>
      <c r="I20" s="274"/>
      <c r="J20" s="214"/>
      <c r="K20" s="214"/>
      <c r="L20" s="214"/>
      <c r="M20" s="214"/>
      <c r="N20" s="214"/>
    </row>
    <row r="21" spans="1:14" ht="15.75">
      <c r="A21" s="276" t="s">
        <v>333</v>
      </c>
      <c r="B21" s="527">
        <f>SUM(H57,H65,H73,H81,H89,H97)</f>
        <v>0</v>
      </c>
      <c r="C21" s="197">
        <v>5</v>
      </c>
      <c r="D21" s="198">
        <f>C21*B21</f>
        <v>0</v>
      </c>
      <c r="E21" s="438"/>
      <c r="F21" s="220"/>
      <c r="G21" s="1351">
        <f>H97</f>
        <v>0</v>
      </c>
      <c r="H21" s="1352">
        <f>H57+H65+H73+H89</f>
        <v>0</v>
      </c>
      <c r="I21" s="274"/>
      <c r="J21" s="214"/>
      <c r="K21" s="214"/>
      <c r="L21" s="214"/>
      <c r="M21" s="214"/>
      <c r="N21" s="214"/>
    </row>
    <row r="22" spans="1:14" ht="15.75">
      <c r="A22" s="533" t="s">
        <v>52</v>
      </c>
      <c r="B22" s="199">
        <f>SUM(B18:B21)</f>
        <v>0</v>
      </c>
      <c r="C22" s="199"/>
      <c r="D22" s="199">
        <f>SUM(D18:D21)</f>
        <v>0</v>
      </c>
      <c r="E22" s="214"/>
      <c r="F22" s="214"/>
      <c r="G22" s="1347">
        <f>SUM(G18:G21)</f>
        <v>0</v>
      </c>
      <c r="H22" s="1353">
        <f>SUM(H18:H21)</f>
        <v>0</v>
      </c>
      <c r="I22" s="274" t="s">
        <v>52</v>
      </c>
      <c r="J22" s="214"/>
      <c r="K22" s="214"/>
      <c r="L22" s="214"/>
      <c r="M22" s="214"/>
      <c r="N22" s="214"/>
    </row>
    <row r="23" spans="1:14" ht="15.75">
      <c r="A23" s="276" t="s">
        <v>75</v>
      </c>
      <c r="B23" s="438"/>
      <c r="C23" s="527">
        <f>C20</f>
        <v>4</v>
      </c>
      <c r="D23" s="264">
        <f>C23*B23</f>
        <v>0</v>
      </c>
      <c r="E23" s="527">
        <f>E20</f>
        <v>0</v>
      </c>
      <c r="F23" s="263"/>
      <c r="G23" s="1354" t="e">
        <f>G22/UNITS</f>
        <v>#DIV/0!</v>
      </c>
      <c r="H23" s="1355" t="e">
        <f>H22/UNITS</f>
        <v>#DIV/0!</v>
      </c>
      <c r="I23" s="1307" t="s">
        <v>376</v>
      </c>
      <c r="J23" s="214"/>
      <c r="K23" s="214"/>
      <c r="L23" s="214"/>
      <c r="M23" s="214"/>
      <c r="N23" s="214"/>
    </row>
    <row r="24" spans="1:14" ht="15.75">
      <c r="A24" s="533" t="s">
        <v>0</v>
      </c>
      <c r="B24" s="199">
        <f>B23+B22</f>
        <v>0</v>
      </c>
      <c r="C24" s="200"/>
      <c r="D24" s="199">
        <f>SUM(D22:D23)</f>
        <v>0</v>
      </c>
      <c r="E24" s="217">
        <f>B18*E18+B19*E19+B20*E20+B21*E21+B23*E23</f>
        <v>0</v>
      </c>
      <c r="F24" s="293" t="s">
        <v>197</v>
      </c>
      <c r="G24" s="168"/>
      <c r="H24" s="168"/>
      <c r="I24" s="274"/>
      <c r="J24" s="214"/>
      <c r="K24" s="214"/>
      <c r="L24" s="214"/>
      <c r="M24" s="214"/>
      <c r="N24" s="214"/>
    </row>
    <row r="25" spans="1:14" ht="15">
      <c r="A25" s="282"/>
      <c r="B25" s="214"/>
      <c r="C25" s="214"/>
      <c r="D25" s="214"/>
      <c r="E25" s="380" t="e">
        <f>E24/B24</f>
        <v>#DIV/0!</v>
      </c>
      <c r="F25" s="294" t="s">
        <v>191</v>
      </c>
      <c r="G25" s="214"/>
      <c r="H25" s="214"/>
      <c r="I25" s="274"/>
      <c r="J25" s="214"/>
      <c r="K25" s="214"/>
      <c r="L25" s="214"/>
      <c r="M25" s="214"/>
      <c r="N25" s="214"/>
    </row>
    <row r="26" spans="1:14" ht="15">
      <c r="A26" s="283"/>
      <c r="B26" s="279"/>
      <c r="C26" s="279"/>
      <c r="D26" s="279"/>
      <c r="E26" s="378"/>
      <c r="F26" s="378"/>
      <c r="G26" s="279"/>
      <c r="H26" s="279"/>
      <c r="I26" s="275"/>
      <c r="J26" s="214"/>
      <c r="K26" s="214"/>
      <c r="L26" s="214"/>
      <c r="M26" s="214"/>
      <c r="N26" s="214"/>
    </row>
    <row r="27" spans="2:14" ht="15">
      <c r="B27" s="196"/>
      <c r="C27" s="196"/>
      <c r="D27" s="196"/>
      <c r="E27" s="168"/>
      <c r="F27" s="168"/>
      <c r="G27" s="168"/>
      <c r="H27" s="214"/>
      <c r="I27" s="376"/>
      <c r="J27" s="214"/>
      <c r="K27" s="214"/>
      <c r="L27" s="214"/>
      <c r="M27" s="214"/>
      <c r="N27" s="214"/>
    </row>
    <row r="28" spans="1:14" ht="16.5" thickBot="1">
      <c r="A28" s="215"/>
      <c r="B28" s="270"/>
      <c r="C28" s="270"/>
      <c r="D28" s="270"/>
      <c r="E28" s="242"/>
      <c r="F28" s="242"/>
      <c r="G28" s="242"/>
      <c r="H28" s="268"/>
      <c r="I28" s="268"/>
      <c r="J28" s="214"/>
      <c r="K28" s="214"/>
      <c r="L28" s="214"/>
      <c r="M28" s="214"/>
      <c r="N28" s="214"/>
    </row>
    <row r="29" spans="1:14" ht="16.5" thickTop="1">
      <c r="A29" s="290" t="s">
        <v>208</v>
      </c>
      <c r="B29" s="221"/>
      <c r="C29" s="168"/>
      <c r="D29" s="168"/>
      <c r="E29" s="377"/>
      <c r="F29" s="168"/>
      <c r="G29" s="168"/>
      <c r="H29" s="214"/>
      <c r="I29" s="278"/>
      <c r="J29" s="214"/>
      <c r="K29" s="214"/>
      <c r="L29" s="214"/>
      <c r="M29" s="214"/>
      <c r="N29" s="214"/>
    </row>
    <row r="30" spans="1:14" s="265" customFormat="1" ht="30" customHeight="1">
      <c r="A30" s="291"/>
      <c r="B30" s="201" t="s">
        <v>1</v>
      </c>
      <c r="C30" s="536" t="s">
        <v>2</v>
      </c>
      <c r="D30" s="201" t="s">
        <v>3</v>
      </c>
      <c r="E30" s="222"/>
      <c r="F30" s="222"/>
      <c r="G30" s="222"/>
      <c r="H30" s="224"/>
      <c r="I30" s="384"/>
      <c r="J30" s="224"/>
      <c r="K30" s="224"/>
      <c r="L30" s="224"/>
      <c r="M30" s="224"/>
      <c r="N30" s="224"/>
    </row>
    <row r="31" spans="1:14" ht="15">
      <c r="A31" s="276" t="s">
        <v>111</v>
      </c>
      <c r="B31" s="438"/>
      <c r="C31" s="470"/>
      <c r="D31" s="91">
        <f>B31*C31*12</f>
        <v>0</v>
      </c>
      <c r="E31" s="168"/>
      <c r="F31" s="168"/>
      <c r="G31" s="168"/>
      <c r="H31" s="214"/>
      <c r="I31" s="274"/>
      <c r="J31" s="214"/>
      <c r="K31" s="214"/>
      <c r="L31" s="214"/>
      <c r="M31" s="214"/>
      <c r="N31" s="214"/>
    </row>
    <row r="32" spans="1:14" ht="15">
      <c r="A32" s="276"/>
      <c r="B32" s="221"/>
      <c r="C32" s="223"/>
      <c r="D32" s="91"/>
      <c r="E32" s="168"/>
      <c r="F32" s="168"/>
      <c r="G32" s="168"/>
      <c r="H32" s="214"/>
      <c r="I32" s="274"/>
      <c r="J32" s="214"/>
      <c r="K32" s="214"/>
      <c r="L32" s="214"/>
      <c r="M32" s="214"/>
      <c r="N32" s="214"/>
    </row>
    <row r="33" spans="1:14" s="265" customFormat="1" ht="30.75" customHeight="1">
      <c r="A33" s="292"/>
      <c r="B33" s="537" t="s">
        <v>4</v>
      </c>
      <c r="C33" s="538" t="s">
        <v>648</v>
      </c>
      <c r="D33" s="201" t="s">
        <v>3</v>
      </c>
      <c r="E33" s="222"/>
      <c r="F33" s="266"/>
      <c r="G33" s="222"/>
      <c r="H33" s="224"/>
      <c r="I33" s="384"/>
      <c r="J33" s="224"/>
      <c r="K33" s="224"/>
      <c r="L33" s="224"/>
      <c r="M33" s="224"/>
      <c r="N33" s="224"/>
    </row>
    <row r="34" spans="1:14" ht="15">
      <c r="A34" s="276" t="s">
        <v>84</v>
      </c>
      <c r="B34" s="473">
        <f>E8</f>
        <v>0</v>
      </c>
      <c r="C34" s="439"/>
      <c r="D34" s="91">
        <f>C34*B34</f>
        <v>0</v>
      </c>
      <c r="E34" s="223"/>
      <c r="F34" s="168"/>
      <c r="G34" s="168"/>
      <c r="H34" s="214"/>
      <c r="I34" s="274"/>
      <c r="J34" s="214"/>
      <c r="K34" s="214"/>
      <c r="L34" s="214"/>
      <c r="M34" s="214"/>
      <c r="N34" s="214"/>
    </row>
    <row r="35" spans="1:14" ht="32.25" customHeight="1">
      <c r="A35" s="276"/>
      <c r="B35" s="537" t="s">
        <v>4</v>
      </c>
      <c r="C35" s="538" t="s">
        <v>648</v>
      </c>
      <c r="D35" s="91"/>
      <c r="E35" s="223"/>
      <c r="F35" s="168"/>
      <c r="G35" s="168"/>
      <c r="H35" s="214"/>
      <c r="I35" s="274"/>
      <c r="J35" s="214"/>
      <c r="K35" s="214"/>
      <c r="L35" s="214"/>
      <c r="M35" s="214"/>
      <c r="N35" s="214"/>
    </row>
    <row r="36" spans="1:14" ht="15">
      <c r="A36" s="276" t="s">
        <v>106</v>
      </c>
      <c r="B36" s="473">
        <f>E9</f>
        <v>0</v>
      </c>
      <c r="C36" s="439"/>
      <c r="D36" s="91">
        <f>C36*B36</f>
        <v>0</v>
      </c>
      <c r="E36" s="223"/>
      <c r="F36" s="168"/>
      <c r="G36" s="168"/>
      <c r="H36" s="214"/>
      <c r="I36" s="274"/>
      <c r="J36" s="214"/>
      <c r="K36" s="214"/>
      <c r="L36" s="214"/>
      <c r="M36" s="214"/>
      <c r="N36" s="214"/>
    </row>
    <row r="37" spans="1:14" ht="15">
      <c r="A37" s="282"/>
      <c r="B37" s="214"/>
      <c r="C37" s="214"/>
      <c r="D37" s="214"/>
      <c r="E37" s="214"/>
      <c r="F37" s="214"/>
      <c r="G37" s="214"/>
      <c r="H37" s="214"/>
      <c r="I37" s="274"/>
      <c r="J37" s="214"/>
      <c r="K37" s="214"/>
      <c r="L37" s="214"/>
      <c r="M37" s="214"/>
      <c r="N37" s="214"/>
    </row>
    <row r="38" spans="1:14" s="265" customFormat="1" ht="15" customHeight="1">
      <c r="A38" s="291"/>
      <c r="B38" s="201" t="s">
        <v>6</v>
      </c>
      <c r="C38" s="201" t="s">
        <v>130</v>
      </c>
      <c r="D38" s="201" t="s">
        <v>3</v>
      </c>
      <c r="E38" s="222"/>
      <c r="F38" s="222"/>
      <c r="G38" s="224"/>
      <c r="H38" s="224"/>
      <c r="I38" s="384"/>
      <c r="J38" s="224"/>
      <c r="K38" s="224"/>
      <c r="L38" s="224"/>
      <c r="M38" s="224"/>
      <c r="N38" s="224"/>
    </row>
    <row r="39" spans="1:14" ht="15">
      <c r="A39" s="276" t="s">
        <v>7</v>
      </c>
      <c r="B39" s="473">
        <f>+B24</f>
        <v>0</v>
      </c>
      <c r="C39" s="439"/>
      <c r="D39" s="91">
        <f>B39*C39</f>
        <v>0</v>
      </c>
      <c r="E39" s="168"/>
      <c r="F39" s="168"/>
      <c r="G39" s="214"/>
      <c r="H39" s="214"/>
      <c r="I39" s="274"/>
      <c r="J39" s="214"/>
      <c r="K39" s="214"/>
      <c r="L39" s="214"/>
      <c r="M39" s="214"/>
      <c r="N39" s="214"/>
    </row>
    <row r="40" spans="1:19" ht="15.75">
      <c r="A40" s="282"/>
      <c r="B40" s="214"/>
      <c r="C40" s="225"/>
      <c r="D40" s="214"/>
      <c r="E40" s="214"/>
      <c r="F40" s="214"/>
      <c r="G40" s="214"/>
      <c r="H40" s="214"/>
      <c r="I40" s="274"/>
      <c r="J40" s="214"/>
      <c r="K40" s="214"/>
      <c r="L40" s="214"/>
      <c r="M40" s="214"/>
      <c r="N40" s="214"/>
      <c r="O40" s="203"/>
      <c r="P40" s="168"/>
      <c r="Q40" s="168"/>
      <c r="R40" s="168"/>
      <c r="S40" s="168"/>
    </row>
    <row r="41" spans="1:19" ht="15.75">
      <c r="A41" s="282"/>
      <c r="B41" s="168"/>
      <c r="C41" s="204" t="s">
        <v>128</v>
      </c>
      <c r="D41" s="205">
        <f>D39+D34+D31+D36</f>
        <v>0</v>
      </c>
      <c r="E41" s="226" t="e">
        <f>D41/$I$104</f>
        <v>#DIV/0!</v>
      </c>
      <c r="F41" s="91"/>
      <c r="G41" s="214"/>
      <c r="H41" s="214"/>
      <c r="I41" s="274"/>
      <c r="J41" s="214"/>
      <c r="K41" s="214"/>
      <c r="L41" s="214"/>
      <c r="M41" s="214"/>
      <c r="N41" s="214"/>
      <c r="O41" s="203"/>
      <c r="P41" s="168"/>
      <c r="Q41" s="168"/>
      <c r="R41" s="168"/>
      <c r="S41" s="168"/>
    </row>
    <row r="42" spans="1:19" ht="15.75">
      <c r="A42" s="283"/>
      <c r="B42" s="279"/>
      <c r="C42" s="279"/>
      <c r="D42" s="279"/>
      <c r="E42" s="279"/>
      <c r="F42" s="245"/>
      <c r="G42" s="279"/>
      <c r="H42" s="279"/>
      <c r="I42" s="275"/>
      <c r="J42" s="214"/>
      <c r="K42" s="214"/>
      <c r="L42" s="214"/>
      <c r="M42" s="214"/>
      <c r="N42" s="214"/>
      <c r="O42" s="386"/>
      <c r="P42" s="201"/>
      <c r="Q42" s="201"/>
      <c r="R42" s="201"/>
      <c r="S42" s="387"/>
    </row>
    <row r="43" spans="2:19" ht="15.75" thickBot="1">
      <c r="B43" s="18"/>
      <c r="C43" s="18"/>
      <c r="D43" s="18"/>
      <c r="E43" s="18"/>
      <c r="F43" s="18"/>
      <c r="G43" s="44"/>
      <c r="H43" s="214"/>
      <c r="I43" s="214"/>
      <c r="J43" s="482"/>
      <c r="K43" s="482"/>
      <c r="L43" s="214"/>
      <c r="M43" s="214"/>
      <c r="N43" s="214"/>
      <c r="O43" s="168"/>
      <c r="P43" s="168"/>
      <c r="Q43" s="267"/>
      <c r="R43" s="91"/>
      <c r="S43" s="214"/>
    </row>
    <row r="44" spans="1:19" ht="16.5" thickTop="1">
      <c r="A44" s="290" t="s">
        <v>311</v>
      </c>
      <c r="B44" s="377"/>
      <c r="C44" s="377"/>
      <c r="D44" s="377"/>
      <c r="E44" s="377"/>
      <c r="F44" s="377"/>
      <c r="G44" s="377"/>
      <c r="H44" s="377"/>
      <c r="I44" s="278"/>
      <c r="J44"/>
      <c r="K44"/>
      <c r="L44"/>
      <c r="M44" s="214"/>
      <c r="N44" s="214"/>
      <c r="O44" s="204"/>
      <c r="P44" s="203"/>
      <c r="Q44" s="203"/>
      <c r="R44" s="388"/>
      <c r="S44" s="214"/>
    </row>
    <row r="45" spans="6:12" ht="30">
      <c r="F45" s="498"/>
      <c r="G45" s="376"/>
      <c r="H45" s="499" t="s">
        <v>296</v>
      </c>
      <c r="I45" s="500" t="s">
        <v>297</v>
      </c>
      <c r="J45" s="115"/>
      <c r="K45"/>
      <c r="L45"/>
    </row>
    <row r="46" spans="1:12" ht="15.75">
      <c r="A46" s="504"/>
      <c r="B46" s="505" t="s">
        <v>312</v>
      </c>
      <c r="C46" s="564">
        <v>79200</v>
      </c>
      <c r="D46" s="506" t="s">
        <v>294</v>
      </c>
      <c r="F46" s="501" t="s">
        <v>298</v>
      </c>
      <c r="G46" s="485" t="s">
        <v>299</v>
      </c>
      <c r="H46" s="571">
        <v>49</v>
      </c>
      <c r="I46" s="572">
        <v>21</v>
      </c>
      <c r="J46" s="114"/>
      <c r="K46"/>
      <c r="L46"/>
    </row>
    <row r="47" spans="1:12" ht="15.75">
      <c r="A47" s="507"/>
      <c r="B47" s="508"/>
      <c r="C47" s="509">
        <v>1318</v>
      </c>
      <c r="D47" s="510" t="s">
        <v>295</v>
      </c>
      <c r="E47" s="227"/>
      <c r="F47" s="501" t="s">
        <v>300</v>
      </c>
      <c r="G47" s="485" t="s">
        <v>301</v>
      </c>
      <c r="H47" s="571">
        <v>54</v>
      </c>
      <c r="I47" s="1326">
        <v>24</v>
      </c>
      <c r="J47" s="114"/>
      <c r="K47"/>
      <c r="L47"/>
    </row>
    <row r="48" spans="5:12" ht="15">
      <c r="E48" s="44"/>
      <c r="F48" s="501" t="s">
        <v>302</v>
      </c>
      <c r="G48" s="485" t="s">
        <v>303</v>
      </c>
      <c r="H48" s="571">
        <v>60</v>
      </c>
      <c r="I48" s="1326">
        <v>26</v>
      </c>
      <c r="J48" s="483"/>
      <c r="K48"/>
      <c r="L48"/>
    </row>
    <row r="49" spans="1:12" ht="15">
      <c r="A49" s="92" t="s">
        <v>336</v>
      </c>
      <c r="D49" s="559">
        <v>1</v>
      </c>
      <c r="F49" s="502" t="s">
        <v>304</v>
      </c>
      <c r="G49" s="503" t="s">
        <v>305</v>
      </c>
      <c r="H49" s="573">
        <v>70</v>
      </c>
      <c r="I49" s="1327">
        <v>26</v>
      </c>
      <c r="J49" s="487"/>
      <c r="K49"/>
      <c r="L49"/>
    </row>
    <row r="50" spans="5:12" ht="15">
      <c r="E50" s="486"/>
      <c r="F50" s="557"/>
      <c r="G50" s="485"/>
      <c r="H50" s="117"/>
      <c r="I50" s="1328"/>
      <c r="J50" s="575"/>
      <c r="K50"/>
      <c r="L50"/>
    </row>
    <row r="51" spans="1:12" ht="15.75">
      <c r="A51" s="528" t="s">
        <v>329</v>
      </c>
      <c r="B51" s="149"/>
      <c r="C51" s="149"/>
      <c r="D51" s="529"/>
      <c r="E51" s="75"/>
      <c r="F51" s="471"/>
      <c r="G51" s="471"/>
      <c r="H51" s="471"/>
      <c r="I51" s="1329"/>
      <c r="J51" s="471"/>
      <c r="K51"/>
      <c r="L51"/>
    </row>
    <row r="52" spans="1:12" ht="15.75">
      <c r="A52" s="472"/>
      <c r="B52" s="488" t="s">
        <v>315</v>
      </c>
      <c r="C52" s="489">
        <f>C46*A52</f>
        <v>0</v>
      </c>
      <c r="D52" s="114"/>
      <c r="E52" s="44"/>
      <c r="F52" s="114"/>
      <c r="G52" s="114"/>
      <c r="H52" s="114"/>
      <c r="I52" s="1330"/>
      <c r="J52" s="114"/>
      <c r="K52"/>
      <c r="L52"/>
    </row>
    <row r="53" spans="1:12" ht="30">
      <c r="A53" s="114" t="s">
        <v>316</v>
      </c>
      <c r="B53" s="485" t="s">
        <v>306</v>
      </c>
      <c r="C53" s="490" t="s">
        <v>307</v>
      </c>
      <c r="D53" s="44" t="s">
        <v>328</v>
      </c>
      <c r="E53" s="484" t="s">
        <v>308</v>
      </c>
      <c r="F53" s="531" t="s">
        <v>344</v>
      </c>
      <c r="G53" s="483" t="s">
        <v>310</v>
      </c>
      <c r="H53" s="483" t="s">
        <v>313</v>
      </c>
      <c r="I53" s="1331" t="s">
        <v>314</v>
      </c>
      <c r="K53"/>
      <c r="L53"/>
    </row>
    <row r="54" spans="1:12" ht="15">
      <c r="A54" s="485" t="s">
        <v>299</v>
      </c>
      <c r="B54" s="485">
        <v>1</v>
      </c>
      <c r="C54" s="491">
        <v>0.6</v>
      </c>
      <c r="D54" s="486">
        <f>$C$52*C54</f>
        <v>0</v>
      </c>
      <c r="E54" s="487">
        <f>ROUNDDOWN(D54*0.3/12,0)</f>
        <v>0</v>
      </c>
      <c r="F54" s="532">
        <f>IF($D$49=1,H46,H46+I46)*-1</f>
        <v>-49</v>
      </c>
      <c r="G54" s="487">
        <f>E54+F54</f>
        <v>-49</v>
      </c>
      <c r="H54" s="511"/>
      <c r="I54" s="1332">
        <f>G54*H54*12</f>
        <v>0</v>
      </c>
      <c r="J54" s="92" t="s">
        <v>346</v>
      </c>
      <c r="K54"/>
      <c r="L54"/>
    </row>
    <row r="55" spans="1:12" ht="15">
      <c r="A55" s="485" t="s">
        <v>301</v>
      </c>
      <c r="B55" s="485">
        <v>1.5</v>
      </c>
      <c r="C55" s="491">
        <v>0.75</v>
      </c>
      <c r="D55" s="486">
        <f>$C$52*C55</f>
        <v>0</v>
      </c>
      <c r="E55" s="487">
        <f>ROUNDDOWN(D55*0.3/12,0)</f>
        <v>0</v>
      </c>
      <c r="F55" s="532">
        <f>IF($D$49=1,H47,H47+I47)*-1</f>
        <v>-54</v>
      </c>
      <c r="G55" s="487">
        <f>E55+F55</f>
        <v>-54</v>
      </c>
      <c r="H55" s="511"/>
      <c r="I55" s="1332">
        <f>G55*H55*12</f>
        <v>0</v>
      </c>
      <c r="K55"/>
      <c r="L55"/>
    </row>
    <row r="56" spans="1:12" ht="15">
      <c r="A56" s="485" t="s">
        <v>303</v>
      </c>
      <c r="B56" s="485">
        <v>3</v>
      </c>
      <c r="C56" s="491">
        <v>0.9</v>
      </c>
      <c r="D56" s="486">
        <f>$C$52*C56</f>
        <v>0</v>
      </c>
      <c r="E56" s="487">
        <f>ROUNDDOWN(D56*0.3/12,0)</f>
        <v>0</v>
      </c>
      <c r="F56" s="532">
        <f>IF($D$49=1,H48,H48+I48)*-1</f>
        <v>-60</v>
      </c>
      <c r="G56" s="487">
        <f>E56+F56</f>
        <v>-60</v>
      </c>
      <c r="H56" s="511"/>
      <c r="I56" s="1332">
        <f>G56*H56*12</f>
        <v>0</v>
      </c>
      <c r="K56"/>
      <c r="L56"/>
    </row>
    <row r="57" spans="1:12" ht="15">
      <c r="A57" s="485" t="s">
        <v>305</v>
      </c>
      <c r="B57" s="485">
        <v>4.5</v>
      </c>
      <c r="C57" s="491">
        <v>1.04</v>
      </c>
      <c r="D57" s="486">
        <f>$C$52*C57</f>
        <v>0</v>
      </c>
      <c r="E57" s="487">
        <f>ROUNDDOWN(D57*0.3/12,0)</f>
        <v>0</v>
      </c>
      <c r="F57" s="532">
        <f>IF($D$49=1,H49,H49+I49)*-1</f>
        <v>-70</v>
      </c>
      <c r="G57" s="487">
        <f>E57+F57</f>
        <v>-70</v>
      </c>
      <c r="H57" s="511"/>
      <c r="I57" s="1332">
        <f>G57*H57*12</f>
        <v>0</v>
      </c>
      <c r="K57"/>
      <c r="L57"/>
    </row>
    <row r="58" spans="1:12" ht="15.75">
      <c r="A58" s="44"/>
      <c r="B58" s="114"/>
      <c r="C58" s="114"/>
      <c r="D58" s="114"/>
      <c r="E58" s="44"/>
      <c r="F58" s="114"/>
      <c r="G58" s="137" t="s">
        <v>0</v>
      </c>
      <c r="H58" s="114">
        <f>SUM(H54:H57)</f>
        <v>0</v>
      </c>
      <c r="I58" s="1332" t="e">
        <f>SUMPRODUCT(H54:H57,I54:I57)/SUMPRODUCT($E$18:$E$21,H54:H57)</f>
        <v>#DIV/0!</v>
      </c>
      <c r="J58" s="751" t="s">
        <v>650</v>
      </c>
      <c r="K58"/>
      <c r="L58"/>
    </row>
    <row r="59" spans="2:12" ht="15">
      <c r="B59" s="471"/>
      <c r="C59" s="471"/>
      <c r="D59" s="471"/>
      <c r="E59" s="75"/>
      <c r="F59" s="471"/>
      <c r="G59" s="471"/>
      <c r="H59" s="471"/>
      <c r="I59" s="1329"/>
      <c r="J59" s="752"/>
      <c r="K59"/>
      <c r="L59"/>
    </row>
    <row r="60" spans="1:12" ht="15.75">
      <c r="A60" s="472"/>
      <c r="B60" s="488" t="s">
        <v>315</v>
      </c>
      <c r="C60" s="489">
        <f>C46*A60</f>
        <v>0</v>
      </c>
      <c r="D60" s="114"/>
      <c r="E60" s="44"/>
      <c r="F60" s="114"/>
      <c r="G60" s="114"/>
      <c r="H60" s="114"/>
      <c r="I60" s="1330"/>
      <c r="J60" s="114"/>
      <c r="K60"/>
      <c r="L60"/>
    </row>
    <row r="61" spans="1:12" ht="30">
      <c r="A61" s="114" t="s">
        <v>316</v>
      </c>
      <c r="B61" s="485" t="s">
        <v>306</v>
      </c>
      <c r="C61" s="490" t="s">
        <v>307</v>
      </c>
      <c r="D61" s="44" t="s">
        <v>328</v>
      </c>
      <c r="E61" s="484" t="s">
        <v>308</v>
      </c>
      <c r="F61" s="531" t="s">
        <v>309</v>
      </c>
      <c r="G61" s="483" t="s">
        <v>310</v>
      </c>
      <c r="H61" s="483" t="s">
        <v>313</v>
      </c>
      <c r="I61" s="1331" t="s">
        <v>314</v>
      </c>
      <c r="K61"/>
      <c r="L61"/>
    </row>
    <row r="62" spans="1:11" ht="15">
      <c r="A62" s="485" t="s">
        <v>299</v>
      </c>
      <c r="B62" s="485">
        <v>1</v>
      </c>
      <c r="C62" s="491">
        <v>0.6</v>
      </c>
      <c r="D62" s="486">
        <f>$C$60*C62</f>
        <v>0</v>
      </c>
      <c r="E62" s="487">
        <f>ROUNDDOWN(D62*0.3/12,0)</f>
        <v>0</v>
      </c>
      <c r="F62" s="532">
        <f>IF($D$49=1,H46,H46+I46)*-1</f>
        <v>-49</v>
      </c>
      <c r="G62" s="487">
        <f>E62+F62</f>
        <v>-49</v>
      </c>
      <c r="H62" s="511"/>
      <c r="I62" s="1332">
        <f>G62*H62*12</f>
        <v>0</v>
      </c>
      <c r="K62"/>
    </row>
    <row r="63" spans="1:12" ht="15">
      <c r="A63" s="485" t="s">
        <v>301</v>
      </c>
      <c r="B63" s="485">
        <v>1.5</v>
      </c>
      <c r="C63" s="491">
        <v>0.75</v>
      </c>
      <c r="D63" s="486">
        <f>$C$60*C63</f>
        <v>0</v>
      </c>
      <c r="E63" s="487">
        <f>ROUNDDOWN(D63*0.3/12,0)</f>
        <v>0</v>
      </c>
      <c r="F63" s="532">
        <f>IF($D$49=1,H47,H47+I47)*-1</f>
        <v>-54</v>
      </c>
      <c r="G63" s="487">
        <f>E63+F63</f>
        <v>-54</v>
      </c>
      <c r="H63" s="511"/>
      <c r="I63" s="1332">
        <f>G63*H63*12</f>
        <v>0</v>
      </c>
      <c r="K63"/>
      <c r="L63"/>
    </row>
    <row r="64" spans="1:12" ht="15">
      <c r="A64" s="485" t="s">
        <v>303</v>
      </c>
      <c r="B64" s="485">
        <v>3</v>
      </c>
      <c r="C64" s="491">
        <v>0.9</v>
      </c>
      <c r="D64" s="486">
        <f>$C$60*C64</f>
        <v>0</v>
      </c>
      <c r="E64" s="487">
        <f>ROUNDDOWN(D64*0.3/12,0)</f>
        <v>0</v>
      </c>
      <c r="F64" s="532">
        <f>IF($D$49=1,H48,H48+I48)*-1</f>
        <v>-60</v>
      </c>
      <c r="G64" s="487">
        <f>E64+F64</f>
        <v>-60</v>
      </c>
      <c r="H64" s="511"/>
      <c r="I64" s="1332">
        <f>G64*H64*12</f>
        <v>0</v>
      </c>
      <c r="K64"/>
      <c r="L64"/>
    </row>
    <row r="65" spans="1:12" ht="15">
      <c r="A65" s="485" t="s">
        <v>305</v>
      </c>
      <c r="B65" s="485">
        <v>4.5</v>
      </c>
      <c r="C65" s="491">
        <v>1.04</v>
      </c>
      <c r="D65" s="486">
        <f>$C$60*C65</f>
        <v>0</v>
      </c>
      <c r="E65" s="487">
        <f>ROUNDDOWN(D65*0.3/12,0)</f>
        <v>0</v>
      </c>
      <c r="F65" s="532">
        <f>IF($D$49=1,H49,H49+I49)*-1</f>
        <v>-70</v>
      </c>
      <c r="G65" s="487">
        <f>E65+F65</f>
        <v>-70</v>
      </c>
      <c r="H65" s="511"/>
      <c r="I65" s="1332">
        <f>G65*H65*12</f>
        <v>0</v>
      </c>
      <c r="K65"/>
      <c r="L65"/>
    </row>
    <row r="66" spans="1:12" ht="15.75">
      <c r="A66" s="44"/>
      <c r="B66" s="114"/>
      <c r="C66" s="114"/>
      <c r="D66" s="114"/>
      <c r="E66" s="44"/>
      <c r="F66" s="114"/>
      <c r="G66" s="137" t="s">
        <v>0</v>
      </c>
      <c r="H66" s="114">
        <f>SUM(H62:H65)</f>
        <v>0</v>
      </c>
      <c r="I66" s="1332" t="e">
        <f>SUMPRODUCT(H62:H65,I62:I65)/SUMPRODUCT($E$18:$E$21,H62:H65)</f>
        <v>#DIV/0!</v>
      </c>
      <c r="J66" s="751" t="s">
        <v>650</v>
      </c>
      <c r="K66"/>
      <c r="L66"/>
    </row>
    <row r="67" spans="2:12" ht="15">
      <c r="B67" s="471"/>
      <c r="C67" s="471"/>
      <c r="D67" s="471"/>
      <c r="E67" s="75"/>
      <c r="F67" s="471"/>
      <c r="G67" s="471"/>
      <c r="H67" s="471"/>
      <c r="I67" s="1329"/>
      <c r="J67" s="752"/>
      <c r="K67"/>
      <c r="L67"/>
    </row>
    <row r="68" spans="1:12" ht="15.75">
      <c r="A68" s="472"/>
      <c r="B68" s="488" t="s">
        <v>315</v>
      </c>
      <c r="C68" s="489">
        <f>C46*A68</f>
        <v>0</v>
      </c>
      <c r="D68" s="114"/>
      <c r="E68" s="44"/>
      <c r="F68" s="114"/>
      <c r="G68" s="114"/>
      <c r="H68" s="114"/>
      <c r="I68" s="1330"/>
      <c r="J68" s="114"/>
      <c r="K68"/>
      <c r="L68"/>
    </row>
    <row r="69" spans="1:12" ht="30">
      <c r="A69" s="114" t="s">
        <v>316</v>
      </c>
      <c r="B69" s="485" t="s">
        <v>306</v>
      </c>
      <c r="C69" s="490" t="s">
        <v>307</v>
      </c>
      <c r="D69" s="44" t="s">
        <v>328</v>
      </c>
      <c r="E69" s="484" t="s">
        <v>308</v>
      </c>
      <c r="F69" s="531" t="s">
        <v>309</v>
      </c>
      <c r="G69" s="483" t="s">
        <v>310</v>
      </c>
      <c r="H69" s="483" t="s">
        <v>313</v>
      </c>
      <c r="I69" s="1331" t="s">
        <v>314</v>
      </c>
      <c r="K69"/>
      <c r="L69"/>
    </row>
    <row r="70" spans="1:12" ht="15">
      <c r="A70" s="485" t="s">
        <v>299</v>
      </c>
      <c r="B70" s="485">
        <v>1</v>
      </c>
      <c r="C70" s="491">
        <v>0.6</v>
      </c>
      <c r="D70" s="486">
        <f>$C$68*C70</f>
        <v>0</v>
      </c>
      <c r="E70" s="487">
        <f>ROUNDDOWN(D70*0.3/12,0)</f>
        <v>0</v>
      </c>
      <c r="F70" s="532">
        <f>IF($D$49=1,H46,H46+I46)*-1</f>
        <v>-49</v>
      </c>
      <c r="G70" s="487">
        <f>E70+F70</f>
        <v>-49</v>
      </c>
      <c r="H70" s="511"/>
      <c r="I70" s="1332">
        <f>G70*H70*12</f>
        <v>0</v>
      </c>
      <c r="K70"/>
      <c r="L70"/>
    </row>
    <row r="71" spans="1:12" ht="15">
      <c r="A71" s="485" t="s">
        <v>301</v>
      </c>
      <c r="B71" s="485">
        <v>1.5</v>
      </c>
      <c r="C71" s="491">
        <v>0.75</v>
      </c>
      <c r="D71" s="486">
        <f>$C$68*C71</f>
        <v>0</v>
      </c>
      <c r="E71" s="487">
        <f>ROUNDDOWN(D71*0.3/12,0)</f>
        <v>0</v>
      </c>
      <c r="F71" s="532">
        <f>IF($D$49=1,H47,H47+I47)*-1</f>
        <v>-54</v>
      </c>
      <c r="G71" s="487">
        <f>E71+F71</f>
        <v>-54</v>
      </c>
      <c r="H71" s="511"/>
      <c r="I71" s="1332">
        <f>G71*H71*12</f>
        <v>0</v>
      </c>
      <c r="K71"/>
      <c r="L71"/>
    </row>
    <row r="72" spans="1:12" ht="15">
      <c r="A72" s="485" t="s">
        <v>303</v>
      </c>
      <c r="B72" s="485">
        <v>3</v>
      </c>
      <c r="C72" s="491">
        <v>0.9</v>
      </c>
      <c r="D72" s="486">
        <f>$C$68*C72</f>
        <v>0</v>
      </c>
      <c r="E72" s="487">
        <f>ROUNDDOWN(D72*0.3/12,0)</f>
        <v>0</v>
      </c>
      <c r="F72" s="532">
        <f>IF($D$49=1,H48,H48+I48)*-1</f>
        <v>-60</v>
      </c>
      <c r="G72" s="487">
        <f>E72+F72</f>
        <v>-60</v>
      </c>
      <c r="H72" s="511"/>
      <c r="I72" s="1332">
        <f>G72*H72*12</f>
        <v>0</v>
      </c>
      <c r="K72"/>
      <c r="L72"/>
    </row>
    <row r="73" spans="1:12" ht="15">
      <c r="A73" s="485" t="s">
        <v>305</v>
      </c>
      <c r="B73" s="485">
        <v>4.5</v>
      </c>
      <c r="C73" s="491">
        <v>1.04</v>
      </c>
      <c r="D73" s="486">
        <f>$C$68*C73</f>
        <v>0</v>
      </c>
      <c r="E73" s="487">
        <f>ROUNDDOWN(D73*0.3/12,0)</f>
        <v>0</v>
      </c>
      <c r="F73" s="532">
        <f>IF($D$49=1,H49,H49+I49)*-1</f>
        <v>-70</v>
      </c>
      <c r="G73" s="487">
        <f>E73+F73</f>
        <v>-70</v>
      </c>
      <c r="H73" s="511"/>
      <c r="I73" s="1332">
        <f>G73*H73*12</f>
        <v>0</v>
      </c>
      <c r="K73"/>
      <c r="L73"/>
    </row>
    <row r="74" spans="1:12" ht="15.75">
      <c r="A74" s="485"/>
      <c r="B74" s="485"/>
      <c r="C74" s="491"/>
      <c r="D74" s="486"/>
      <c r="E74" s="487"/>
      <c r="F74" s="527"/>
      <c r="G74" s="137" t="s">
        <v>0</v>
      </c>
      <c r="H74" s="114">
        <f>SUM(H70:H73)</f>
        <v>0</v>
      </c>
      <c r="I74" s="1332" t="e">
        <f>SUMPRODUCT(H70:H73,I70:I73)/SUMPRODUCT($E$18:$E$21,H70:H73)</f>
        <v>#DIV/0!</v>
      </c>
      <c r="J74" s="751" t="s">
        <v>650</v>
      </c>
      <c r="K74"/>
      <c r="L74"/>
    </row>
    <row r="75" spans="1:12" ht="15">
      <c r="A75" s="44"/>
      <c r="B75" s="114"/>
      <c r="C75" s="114"/>
      <c r="D75" s="114"/>
      <c r="E75" s="44"/>
      <c r="F75" s="114"/>
      <c r="G75" s="114"/>
      <c r="H75" s="214"/>
      <c r="I75" s="1330"/>
      <c r="J75" s="752"/>
      <c r="K75"/>
      <c r="L75"/>
    </row>
    <row r="76" spans="1:12" ht="15.75">
      <c r="A76" s="492"/>
      <c r="B76" s="488" t="s">
        <v>315</v>
      </c>
      <c r="C76" s="489">
        <f>C38*A76</f>
        <v>0</v>
      </c>
      <c r="D76" s="114"/>
      <c r="E76" s="44"/>
      <c r="F76" s="114"/>
      <c r="G76" s="114"/>
      <c r="H76" s="114"/>
      <c r="I76" s="1330"/>
      <c r="J76" s="114"/>
      <c r="K76"/>
      <c r="L76"/>
    </row>
    <row r="77" spans="1:12" ht="30">
      <c r="A77" s="114" t="s">
        <v>316</v>
      </c>
      <c r="B77" s="485" t="s">
        <v>306</v>
      </c>
      <c r="C77" s="490" t="s">
        <v>307</v>
      </c>
      <c r="D77" s="44" t="s">
        <v>328</v>
      </c>
      <c r="E77" s="484" t="s">
        <v>308</v>
      </c>
      <c r="F77" s="531" t="s">
        <v>309</v>
      </c>
      <c r="G77" s="483" t="s">
        <v>310</v>
      </c>
      <c r="H77" s="483" t="s">
        <v>313</v>
      </c>
      <c r="I77" s="1331" t="s">
        <v>314</v>
      </c>
      <c r="K77"/>
      <c r="L77"/>
    </row>
    <row r="78" spans="1:12" ht="15">
      <c r="A78" s="485" t="s">
        <v>299</v>
      </c>
      <c r="B78" s="485">
        <v>1</v>
      </c>
      <c r="C78" s="491">
        <v>0.6</v>
      </c>
      <c r="D78" s="486">
        <f>$C$84*C78</f>
        <v>0</v>
      </c>
      <c r="E78" s="487">
        <f>ROUNDDOWN(D78*0.3/12,0)</f>
        <v>0</v>
      </c>
      <c r="F78" s="532">
        <f>IF($D$49=1,H46,H46+I46)*-1</f>
        <v>-49</v>
      </c>
      <c r="G78" s="487">
        <f>E78+F78</f>
        <v>-49</v>
      </c>
      <c r="H78" s="511"/>
      <c r="I78" s="1332">
        <f>G78*H78*12</f>
        <v>0</v>
      </c>
      <c r="K78"/>
      <c r="L78"/>
    </row>
    <row r="79" spans="1:12" ht="15">
      <c r="A79" s="485" t="s">
        <v>301</v>
      </c>
      <c r="B79" s="485">
        <v>1.5</v>
      </c>
      <c r="C79" s="491">
        <v>0.75</v>
      </c>
      <c r="D79" s="486">
        <f>$C$84*C79</f>
        <v>0</v>
      </c>
      <c r="E79" s="487">
        <f>ROUNDDOWN(D79*0.3/12,0)</f>
        <v>0</v>
      </c>
      <c r="F79" s="532">
        <f>IF($D$49=1,H47,H47+I47)*-1</f>
        <v>-54</v>
      </c>
      <c r="G79" s="487">
        <f>E79+F79</f>
        <v>-54</v>
      </c>
      <c r="H79" s="511"/>
      <c r="I79" s="1332">
        <f>G79*H79*12</f>
        <v>0</v>
      </c>
      <c r="K79"/>
      <c r="L79"/>
    </row>
    <row r="80" spans="1:12" ht="15">
      <c r="A80" s="485" t="s">
        <v>303</v>
      </c>
      <c r="B80" s="485">
        <v>3</v>
      </c>
      <c r="C80" s="491">
        <v>0.9</v>
      </c>
      <c r="D80" s="486">
        <f>$C$84*C80</f>
        <v>0</v>
      </c>
      <c r="E80" s="487">
        <f>ROUNDDOWN(D80*0.3/12,0)</f>
        <v>0</v>
      </c>
      <c r="F80" s="532">
        <f>IF($D$49=1,H48,H48+I48)*-1</f>
        <v>-60</v>
      </c>
      <c r="G80" s="487">
        <f>E80+F80</f>
        <v>-60</v>
      </c>
      <c r="H80" s="511"/>
      <c r="I80" s="1332">
        <f>G80*H80*12</f>
        <v>0</v>
      </c>
      <c r="K80"/>
      <c r="L80"/>
    </row>
    <row r="81" spans="1:12" ht="15">
      <c r="A81" s="485" t="s">
        <v>305</v>
      </c>
      <c r="B81" s="485">
        <v>4.5</v>
      </c>
      <c r="C81" s="491">
        <v>1.04</v>
      </c>
      <c r="D81" s="486">
        <f>$C$84*C81</f>
        <v>0</v>
      </c>
      <c r="E81" s="487">
        <f>ROUNDDOWN(D81*0.3/12,0)</f>
        <v>0</v>
      </c>
      <c r="F81" s="532">
        <f>IF($D$49=1,H49,H49+I49)*-1</f>
        <v>-70</v>
      </c>
      <c r="G81" s="487">
        <f>E81+F81</f>
        <v>-70</v>
      </c>
      <c r="H81" s="511"/>
      <c r="I81" s="1332">
        <f>G81*H81*12</f>
        <v>0</v>
      </c>
      <c r="K81"/>
      <c r="L81"/>
    </row>
    <row r="82" spans="1:12" ht="15.75">
      <c r="A82" s="485"/>
      <c r="B82" s="485"/>
      <c r="C82" s="491"/>
      <c r="D82" s="486"/>
      <c r="E82" s="487"/>
      <c r="F82" s="487"/>
      <c r="G82" s="137" t="s">
        <v>0</v>
      </c>
      <c r="H82" s="114">
        <f>SUM(H78:H81)</f>
        <v>0</v>
      </c>
      <c r="I82" s="1332" t="e">
        <f>SUMPRODUCT(H78:H81,I78:I81)/SUMPRODUCT($E$18:$E$21,H78:H81)</f>
        <v>#DIV/0!</v>
      </c>
      <c r="J82" s="751" t="s">
        <v>650</v>
      </c>
      <c r="K82"/>
      <c r="L82"/>
    </row>
    <row r="83" spans="2:12" ht="15">
      <c r="B83" s="471"/>
      <c r="C83" s="471"/>
      <c r="D83" s="471"/>
      <c r="E83" s="75"/>
      <c r="F83" s="471"/>
      <c r="G83" s="471"/>
      <c r="H83" s="471"/>
      <c r="I83" s="1329"/>
      <c r="J83" s="752"/>
      <c r="K83"/>
      <c r="L83"/>
    </row>
    <row r="84" spans="1:12" ht="15.75">
      <c r="A84" s="492"/>
      <c r="B84" s="488" t="s">
        <v>315</v>
      </c>
      <c r="C84" s="489">
        <f>C46*A84</f>
        <v>0</v>
      </c>
      <c r="D84" s="114"/>
      <c r="E84" s="44"/>
      <c r="F84" s="114"/>
      <c r="G84" s="114"/>
      <c r="H84" s="114"/>
      <c r="I84" s="1330"/>
      <c r="J84" s="114"/>
      <c r="K84"/>
      <c r="L84"/>
    </row>
    <row r="85" spans="1:12" ht="30">
      <c r="A85" s="114" t="s">
        <v>316</v>
      </c>
      <c r="B85" s="485" t="s">
        <v>306</v>
      </c>
      <c r="C85" s="490" t="s">
        <v>307</v>
      </c>
      <c r="D85" s="44" t="s">
        <v>328</v>
      </c>
      <c r="E85" s="484" t="s">
        <v>308</v>
      </c>
      <c r="F85" s="531" t="s">
        <v>309</v>
      </c>
      <c r="G85" s="483" t="s">
        <v>310</v>
      </c>
      <c r="H85" s="483" t="s">
        <v>313</v>
      </c>
      <c r="I85" s="1331" t="s">
        <v>314</v>
      </c>
      <c r="K85"/>
      <c r="L85"/>
    </row>
    <row r="86" spans="1:12" ht="15">
      <c r="A86" s="485" t="s">
        <v>299</v>
      </c>
      <c r="B86" s="485">
        <v>1</v>
      </c>
      <c r="C86" s="491">
        <v>0.6</v>
      </c>
      <c r="D86" s="486">
        <f>$C$84*C86</f>
        <v>0</v>
      </c>
      <c r="E86" s="487">
        <f>ROUNDDOWN(D86*0.3/12,0)</f>
        <v>0</v>
      </c>
      <c r="F86" s="532">
        <f>IF($D$49=1,H46,H46+I46)*-1</f>
        <v>-49</v>
      </c>
      <c r="G86" s="487">
        <f>E86+F86</f>
        <v>-49</v>
      </c>
      <c r="H86" s="511"/>
      <c r="I86" s="1332">
        <f>G86*H86*12</f>
        <v>0</v>
      </c>
      <c r="K86"/>
      <c r="L86"/>
    </row>
    <row r="87" spans="1:12" ht="15">
      <c r="A87" s="485" t="s">
        <v>301</v>
      </c>
      <c r="B87" s="485">
        <v>1.5</v>
      </c>
      <c r="C87" s="491">
        <v>0.75</v>
      </c>
      <c r="D87" s="486">
        <f>$C$84*C87</f>
        <v>0</v>
      </c>
      <c r="E87" s="487">
        <f>ROUNDDOWN(D87*0.3/12,0)</f>
        <v>0</v>
      </c>
      <c r="F87" s="532">
        <f>IF($D$49=1,H47,H47+I47)*-1</f>
        <v>-54</v>
      </c>
      <c r="G87" s="487">
        <f>E87+F87</f>
        <v>-54</v>
      </c>
      <c r="H87" s="511"/>
      <c r="I87" s="1332">
        <f>G87*H87*12</f>
        <v>0</v>
      </c>
      <c r="K87"/>
      <c r="L87"/>
    </row>
    <row r="88" spans="1:12" ht="15">
      <c r="A88" s="485" t="s">
        <v>303</v>
      </c>
      <c r="B88" s="485">
        <v>3</v>
      </c>
      <c r="C88" s="491">
        <v>0.9</v>
      </c>
      <c r="D88" s="486">
        <f>$C$84*C88</f>
        <v>0</v>
      </c>
      <c r="E88" s="487">
        <f>ROUNDDOWN(D88*0.3/12,0)</f>
        <v>0</v>
      </c>
      <c r="F88" s="532">
        <f>IF($D$49=1,H48,H48+I48)*-1</f>
        <v>-60</v>
      </c>
      <c r="G88" s="487">
        <f>E88+F88</f>
        <v>-60</v>
      </c>
      <c r="H88" s="511"/>
      <c r="I88" s="1332">
        <f>G88*H88*12</f>
        <v>0</v>
      </c>
      <c r="K88"/>
      <c r="L88"/>
    </row>
    <row r="89" spans="1:12" ht="15">
      <c r="A89" s="485" t="s">
        <v>305</v>
      </c>
      <c r="B89" s="485">
        <v>4.5</v>
      </c>
      <c r="C89" s="491">
        <v>1.04</v>
      </c>
      <c r="D89" s="486">
        <f>$C$84*C89</f>
        <v>0</v>
      </c>
      <c r="E89" s="487">
        <f>ROUNDDOWN(D89*0.3/12,0)</f>
        <v>0</v>
      </c>
      <c r="F89" s="532">
        <f>IF($D$49=1,H49,H49+I49)*-1</f>
        <v>-70</v>
      </c>
      <c r="G89" s="487">
        <f>E89+F89</f>
        <v>-70</v>
      </c>
      <c r="H89" s="511"/>
      <c r="I89" s="1332">
        <f>G89*H89*12</f>
        <v>0</v>
      </c>
      <c r="K89"/>
      <c r="L89"/>
    </row>
    <row r="90" spans="1:12" ht="15.75">
      <c r="A90" s="485"/>
      <c r="B90" s="485"/>
      <c r="C90" s="491"/>
      <c r="D90" s="486"/>
      <c r="E90" s="487"/>
      <c r="F90" s="487"/>
      <c r="G90" s="137" t="s">
        <v>0</v>
      </c>
      <c r="H90" s="114">
        <f>SUM(H86:H89)</f>
        <v>0</v>
      </c>
      <c r="I90" s="1332" t="e">
        <f>SUMPRODUCT(H86:H89,I86:I89)/SUMPRODUCT($E$18:$E$21,H86:H89)</f>
        <v>#DIV/0!</v>
      </c>
      <c r="J90" s="751" t="s">
        <v>650</v>
      </c>
      <c r="K90"/>
      <c r="L90"/>
    </row>
    <row r="91" spans="1:12" ht="15">
      <c r="A91" s="485"/>
      <c r="B91" s="471"/>
      <c r="C91" s="471"/>
      <c r="D91" s="471"/>
      <c r="E91" s="75"/>
      <c r="F91" s="471"/>
      <c r="G91" s="471"/>
      <c r="H91" s="471"/>
      <c r="I91" s="1329"/>
      <c r="J91" s="751"/>
      <c r="K91"/>
      <c r="L91"/>
    </row>
    <row r="92" spans="1:12" ht="15.75">
      <c r="A92" s="540" t="s">
        <v>334</v>
      </c>
      <c r="B92" s="488"/>
      <c r="C92" s="489"/>
      <c r="D92" s="114"/>
      <c r="E92" s="44"/>
      <c r="F92" s="114"/>
      <c r="G92" s="114"/>
      <c r="H92" s="114"/>
      <c r="I92" s="1330"/>
      <c r="J92" s="752"/>
      <c r="K92"/>
      <c r="L92"/>
    </row>
    <row r="93" spans="1:12" ht="30">
      <c r="A93" s="114" t="s">
        <v>316</v>
      </c>
      <c r="B93" s="485"/>
      <c r="C93" s="490"/>
      <c r="D93" s="44"/>
      <c r="E93" s="484"/>
      <c r="F93" s="483"/>
      <c r="G93" s="483" t="s">
        <v>2</v>
      </c>
      <c r="H93" s="483" t="s">
        <v>313</v>
      </c>
      <c r="I93" s="1331" t="s">
        <v>314</v>
      </c>
      <c r="J93" s="114"/>
      <c r="K93"/>
      <c r="L93"/>
    </row>
    <row r="94" spans="1:12" ht="15">
      <c r="A94" s="485" t="s">
        <v>299</v>
      </c>
      <c r="B94" s="543"/>
      <c r="C94" s="544"/>
      <c r="D94" s="545"/>
      <c r="E94" s="546"/>
      <c r="F94" s="546"/>
      <c r="G94" s="511"/>
      <c r="H94" s="511"/>
      <c r="I94" s="1332">
        <f>H94*12*G94</f>
        <v>0</v>
      </c>
      <c r="K94"/>
      <c r="L94"/>
    </row>
    <row r="95" spans="1:12" ht="15">
      <c r="A95" s="485" t="s">
        <v>301</v>
      </c>
      <c r="B95" s="543"/>
      <c r="C95" s="544"/>
      <c r="D95" s="545"/>
      <c r="E95" s="546"/>
      <c r="F95" s="546"/>
      <c r="G95" s="511"/>
      <c r="H95" s="511"/>
      <c r="I95" s="1332">
        <f>H95*12*G95</f>
        <v>0</v>
      </c>
      <c r="K95"/>
      <c r="L95"/>
    </row>
    <row r="96" spans="1:12" ht="15">
      <c r="A96" s="485" t="s">
        <v>303</v>
      </c>
      <c r="B96" s="543"/>
      <c r="C96" s="544"/>
      <c r="D96" s="545"/>
      <c r="E96" s="546"/>
      <c r="F96" s="546"/>
      <c r="G96" s="511"/>
      <c r="H96" s="511"/>
      <c r="I96" s="1332">
        <f>H96*12*G96</f>
        <v>0</v>
      </c>
      <c r="K96"/>
      <c r="L96"/>
    </row>
    <row r="97" spans="1:12" ht="15">
      <c r="A97" s="485" t="s">
        <v>305</v>
      </c>
      <c r="B97" s="543"/>
      <c r="C97" s="544"/>
      <c r="D97" s="545"/>
      <c r="E97" s="546"/>
      <c r="F97" s="546"/>
      <c r="G97" s="511"/>
      <c r="H97" s="511"/>
      <c r="I97" s="1332">
        <f>H97*12*G97</f>
        <v>0</v>
      </c>
      <c r="K97"/>
      <c r="L97"/>
    </row>
    <row r="98" spans="1:12" ht="15.75">
      <c r="A98" s="485"/>
      <c r="B98" s="485"/>
      <c r="C98" s="491"/>
      <c r="D98" s="486"/>
      <c r="E98" s="750"/>
      <c r="F98" s="750"/>
      <c r="G98" s="137" t="s">
        <v>0</v>
      </c>
      <c r="H98" s="114">
        <f>SUM(H94:H97)</f>
        <v>0</v>
      </c>
      <c r="I98" s="1332" t="e">
        <f>SUMPRODUCT(H94:H97,I94:I97)/SUMPRODUCT($E$18:$E$21,H94:H97)</f>
        <v>#DIV/0!</v>
      </c>
      <c r="J98" s="751" t="s">
        <v>650</v>
      </c>
      <c r="K98"/>
      <c r="L98"/>
    </row>
    <row r="99" spans="1:12" ht="15">
      <c r="A99" s="485"/>
      <c r="B99" s="485"/>
      <c r="C99" s="491"/>
      <c r="D99" s="486"/>
      <c r="E99" s="487"/>
      <c r="F99" s="487"/>
      <c r="G99"/>
      <c r="H99"/>
      <c r="I99" s="495"/>
      <c r="K99"/>
      <c r="L99"/>
    </row>
    <row r="100" spans="2:12" ht="15.75">
      <c r="B100" s="749" t="s">
        <v>493</v>
      </c>
      <c r="D100" s="114"/>
      <c r="E100" s="44"/>
      <c r="F100" s="114"/>
      <c r="G100" s="530" t="s">
        <v>317</v>
      </c>
      <c r="H100" s="114">
        <f>SUM(H98,H90,H82,H74,H66,H58)</f>
        <v>0</v>
      </c>
      <c r="I100" s="497"/>
      <c r="J100" s="752"/>
      <c r="K100"/>
      <c r="L100"/>
    </row>
    <row r="101" spans="3:12" ht="15.75">
      <c r="C101"/>
      <c r="D101" s="114"/>
      <c r="E101" s="44"/>
      <c r="F101" s="114"/>
      <c r="G101" s="530"/>
      <c r="H101" s="114"/>
      <c r="I101" s="497"/>
      <c r="J101" s="114"/>
      <c r="K101"/>
      <c r="L101"/>
    </row>
    <row r="102" spans="2:14" ht="15.75">
      <c r="B102" s="557" t="s">
        <v>492</v>
      </c>
      <c r="C102" s="747"/>
      <c r="D102" s="44"/>
      <c r="E102" s="44"/>
      <c r="F102" s="44"/>
      <c r="G102" s="446"/>
      <c r="H102" s="447" t="s">
        <v>247</v>
      </c>
      <c r="I102" s="541">
        <f>SUM(I54:I57)+SUM(I62:I65)+SUM(I70:I73)+SUM(I86:I89)+SUM(I94:I97)</f>
        <v>0</v>
      </c>
      <c r="K102"/>
      <c r="L102"/>
      <c r="M102" s="214"/>
      <c r="N102" s="214"/>
    </row>
    <row r="103" spans="2:14" ht="15">
      <c r="B103" s="557" t="s">
        <v>491</v>
      </c>
      <c r="C103" s="748"/>
      <c r="D103" s="214"/>
      <c r="E103" s="214"/>
      <c r="F103" s="214"/>
      <c r="G103" s="214"/>
      <c r="H103" s="214"/>
      <c r="I103" s="274"/>
      <c r="K103"/>
      <c r="L103"/>
      <c r="M103" s="214"/>
      <c r="N103" s="214"/>
    </row>
    <row r="104" spans="1:19" ht="15.75">
      <c r="A104" s="378"/>
      <c r="B104" s="378"/>
      <c r="C104" s="378"/>
      <c r="D104" s="378"/>
      <c r="E104" s="279"/>
      <c r="F104" s="245"/>
      <c r="G104" s="279"/>
      <c r="H104" s="494" t="s">
        <v>131</v>
      </c>
      <c r="I104" s="542">
        <f>I102+D41</f>
        <v>0</v>
      </c>
      <c r="K104"/>
      <c r="L104"/>
      <c r="M104" s="214"/>
      <c r="N104" s="214"/>
      <c r="O104" s="168"/>
      <c r="P104" s="168"/>
      <c r="Q104" s="202"/>
      <c r="R104" s="91"/>
      <c r="S104" s="385"/>
    </row>
  </sheetData>
  <sheetProtection/>
  <printOptions/>
  <pageMargins left="0.75" right="0.5" top="0.75" bottom="0.5" header="0.5" footer="0.5"/>
  <pageSetup firstPageNumber="209" useFirstPageNumber="1" fitToHeight="1" fitToWidth="1" horizontalDpi="600" verticalDpi="600" orientation="portrait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1"/>
    <pageSetUpPr fitToPage="1"/>
  </sheetPr>
  <dimension ref="A1:I40"/>
  <sheetViews>
    <sheetView defaultGridColor="0" zoomScale="70" zoomScaleNormal="70" zoomScalePageLayoutView="0" colorId="22" workbookViewId="0" topLeftCell="A1">
      <selection activeCell="A4" sqref="A4"/>
    </sheetView>
  </sheetViews>
  <sheetFormatPr defaultColWidth="9.77734375" defaultRowHeight="15"/>
  <cols>
    <col min="1" max="1" width="26.6640625" style="172" customWidth="1"/>
    <col min="2" max="2" width="11.6640625" style="172" customWidth="1"/>
    <col min="3" max="3" width="14.21484375" style="172" customWidth="1"/>
    <col min="4" max="4" width="9.5546875" style="172" customWidth="1"/>
    <col min="5" max="5" width="13.5546875" style="172" customWidth="1"/>
    <col min="6" max="6" width="18.6640625" style="172" customWidth="1"/>
    <col min="7" max="7" width="9.77734375" style="172" customWidth="1"/>
    <col min="8" max="8" width="12.88671875" style="172" customWidth="1"/>
    <col min="9" max="9" width="13.88671875" style="172" customWidth="1"/>
    <col min="10" max="16384" width="9.77734375" style="172" customWidth="1"/>
  </cols>
  <sheetData>
    <row r="1" spans="1:9" ht="15.75">
      <c r="A1" s="74" t="str">
        <f>'1. Cons Int &amp; Neg Arb'!A1</f>
        <v>Willets Point Phase 1 Development</v>
      </c>
      <c r="B1" s="29"/>
      <c r="D1" s="32"/>
      <c r="E1" s="32"/>
      <c r="F1" s="29"/>
      <c r="G1" s="29"/>
      <c r="H1" s="29"/>
      <c r="I1" s="29"/>
    </row>
    <row r="2" spans="1:9" ht="15.75">
      <c r="A2" s="74" t="str">
        <f>'1. Cons Int &amp; Neg Arb'!A2</f>
        <v>Building 1</v>
      </c>
      <c r="B2" s="29"/>
      <c r="D2" s="32"/>
      <c r="E2" s="112"/>
      <c r="F2" s="29"/>
      <c r="G2" s="29"/>
      <c r="H2" s="29"/>
      <c r="I2" s="29"/>
    </row>
    <row r="3" spans="1:9" ht="15.75">
      <c r="A3" s="74"/>
      <c r="B3" s="29"/>
      <c r="F3" s="29"/>
      <c r="G3" s="29"/>
      <c r="H3" s="29"/>
      <c r="I3" s="29"/>
    </row>
    <row r="4" spans="1:9" ht="15.75">
      <c r="A4" s="350" t="s">
        <v>134</v>
      </c>
      <c r="B4" s="29"/>
      <c r="C4" s="29"/>
      <c r="D4" s="730" t="s">
        <v>232</v>
      </c>
      <c r="E4" s="733">
        <f>'1. Units &amp; Income'!I2</f>
        <v>0</v>
      </c>
      <c r="F4" s="29"/>
      <c r="G4" s="29"/>
      <c r="H4" s="29"/>
      <c r="I4" s="29"/>
    </row>
    <row r="5" spans="2:9" ht="15.75">
      <c r="B5" s="351"/>
      <c r="C5" s="351"/>
      <c r="D5" s="732" t="s">
        <v>484</v>
      </c>
      <c r="E5" s="733">
        <f>'1. Units &amp; Income'!I3</f>
        <v>0</v>
      </c>
      <c r="F5" s="29"/>
      <c r="G5" s="29"/>
      <c r="H5" s="29"/>
      <c r="I5" s="29"/>
    </row>
    <row r="6" spans="1:5" ht="15.75" thickBot="1">
      <c r="A6" s="325"/>
      <c r="B6" s="325"/>
      <c r="C6" s="325"/>
      <c r="D6" s="325"/>
      <c r="E6" s="325"/>
    </row>
    <row r="7" spans="1:6" ht="16.5" thickTop="1">
      <c r="A7" s="359" t="s">
        <v>71</v>
      </c>
      <c r="B7" s="318"/>
      <c r="C7" s="360"/>
      <c r="D7" s="360" t="s">
        <v>65</v>
      </c>
      <c r="E7" s="337"/>
      <c r="F7" s="29"/>
    </row>
    <row r="8" spans="1:6" ht="15">
      <c r="A8" s="316" t="s">
        <v>15</v>
      </c>
      <c r="B8" s="29"/>
      <c r="C8" s="352">
        <f>D8*$E$5</f>
        <v>0</v>
      </c>
      <c r="D8" s="512"/>
      <c r="E8" s="336" t="s">
        <v>16</v>
      </c>
      <c r="F8" s="30"/>
    </row>
    <row r="9" spans="1:6" ht="15">
      <c r="A9" s="316" t="s">
        <v>17</v>
      </c>
      <c r="B9" s="29" t="s">
        <v>79</v>
      </c>
      <c r="C9" s="352">
        <f>D9*E5</f>
        <v>0</v>
      </c>
      <c r="D9" s="513"/>
      <c r="E9" s="336" t="s">
        <v>16</v>
      </c>
      <c r="F9" s="30"/>
    </row>
    <row r="10" spans="1:6" ht="15">
      <c r="A10" s="316" t="s">
        <v>18</v>
      </c>
      <c r="B10" s="29"/>
      <c r="C10" s="352">
        <f>D10*$E$5</f>
        <v>0</v>
      </c>
      <c r="D10" s="513"/>
      <c r="E10" s="336" t="s">
        <v>16</v>
      </c>
      <c r="F10" s="30"/>
    </row>
    <row r="11" spans="1:6" ht="15">
      <c r="A11" s="316" t="s">
        <v>66</v>
      </c>
      <c r="B11" s="29"/>
      <c r="C11" s="352">
        <f>D11*E4</f>
        <v>0</v>
      </c>
      <c r="D11" s="514"/>
      <c r="E11" s="336" t="s">
        <v>19</v>
      </c>
      <c r="F11" s="30"/>
    </row>
    <row r="12" spans="1:6" ht="15">
      <c r="A12" s="316" t="s">
        <v>319</v>
      </c>
      <c r="B12" s="29"/>
      <c r="C12" s="352">
        <f>D12*$E$4</f>
        <v>0</v>
      </c>
      <c r="D12" s="514"/>
      <c r="E12" s="336" t="s">
        <v>19</v>
      </c>
      <c r="F12" s="30"/>
    </row>
    <row r="13" spans="1:6" ht="15">
      <c r="A13" s="316" t="s">
        <v>198</v>
      </c>
      <c r="B13" s="29"/>
      <c r="C13" s="352">
        <f>D13*$E$4</f>
        <v>0</v>
      </c>
      <c r="D13" s="514"/>
      <c r="E13" s="336" t="s">
        <v>19</v>
      </c>
      <c r="F13" s="30"/>
    </row>
    <row r="14" spans="1:6" ht="15">
      <c r="A14" s="316" t="s">
        <v>50</v>
      </c>
      <c r="B14" s="29"/>
      <c r="C14" s="352">
        <f>D14</f>
        <v>0</v>
      </c>
      <c r="D14" s="513"/>
      <c r="E14" s="336" t="s">
        <v>199</v>
      </c>
      <c r="F14" s="30"/>
    </row>
    <row r="15" spans="1:7" ht="15">
      <c r="A15" s="316" t="s">
        <v>20</v>
      </c>
      <c r="B15" s="29"/>
      <c r="C15" s="352">
        <f>D15*$E$5</f>
        <v>0</v>
      </c>
      <c r="D15" s="514"/>
      <c r="E15" s="336" t="s">
        <v>16</v>
      </c>
      <c r="F15" s="30"/>
      <c r="G15" s="353"/>
    </row>
    <row r="16" spans="1:6" ht="15">
      <c r="A16" s="354" t="s">
        <v>21</v>
      </c>
      <c r="B16" s="231"/>
      <c r="C16" s="515">
        <f>C18+C19</f>
        <v>0</v>
      </c>
      <c r="D16" s="599" t="e">
        <f>C16/E4</f>
        <v>#DIV/0!</v>
      </c>
      <c r="E16" s="336" t="s">
        <v>19</v>
      </c>
      <c r="F16" s="30"/>
    </row>
    <row r="17" spans="1:6" ht="15">
      <c r="A17" s="316" t="s">
        <v>22</v>
      </c>
      <c r="B17" s="235"/>
      <c r="E17" s="336"/>
      <c r="F17" s="30"/>
    </row>
    <row r="18" spans="1:6" ht="15">
      <c r="A18" s="355" t="s">
        <v>135</v>
      </c>
      <c r="B18" s="389"/>
      <c r="C18" s="353">
        <f>D18*B18</f>
        <v>0</v>
      </c>
      <c r="D18" s="513"/>
      <c r="E18" s="336" t="s">
        <v>318</v>
      </c>
      <c r="F18" s="30"/>
    </row>
    <row r="19" spans="1:6" ht="15">
      <c r="A19" s="355" t="s">
        <v>104</v>
      </c>
      <c r="B19" s="389"/>
      <c r="C19" s="353">
        <f>D19*B19</f>
        <v>0</v>
      </c>
      <c r="D19" s="513"/>
      <c r="E19" s="336" t="s">
        <v>318</v>
      </c>
      <c r="F19" s="30"/>
    </row>
    <row r="20" spans="1:6" ht="15">
      <c r="A20" s="355"/>
      <c r="B20" s="436"/>
      <c r="E20" s="336"/>
      <c r="F20" s="30"/>
    </row>
    <row r="21" spans="1:6" ht="15">
      <c r="A21" s="354" t="s">
        <v>23</v>
      </c>
      <c r="B21" s="389"/>
      <c r="C21" s="352">
        <f>D21*B21</f>
        <v>0</v>
      </c>
      <c r="D21" s="514"/>
      <c r="E21" s="336" t="s">
        <v>68</v>
      </c>
      <c r="F21" s="30"/>
    </row>
    <row r="22" spans="1:7" ht="15">
      <c r="A22" s="316" t="s">
        <v>24</v>
      </c>
      <c r="B22" s="29"/>
      <c r="C22" s="237">
        <f>D22*'1. Mort'!D11</f>
        <v>0</v>
      </c>
      <c r="D22" s="516"/>
      <c r="E22" s="336" t="s">
        <v>188</v>
      </c>
      <c r="F22" s="30"/>
      <c r="G22" s="29"/>
    </row>
    <row r="23" spans="1:7" ht="15">
      <c r="A23" s="354" t="s">
        <v>25</v>
      </c>
      <c r="B23" s="232"/>
      <c r="C23" s="352">
        <f>D23*$E$5</f>
        <v>0</v>
      </c>
      <c r="D23" s="514"/>
      <c r="E23" s="336" t="s">
        <v>16</v>
      </c>
      <c r="F23" s="30"/>
      <c r="G23" s="29"/>
    </row>
    <row r="24" spans="1:7" ht="15">
      <c r="A24" s="354" t="s">
        <v>26</v>
      </c>
      <c r="B24" s="232"/>
      <c r="C24" s="352">
        <f>D24*$E$4</f>
        <v>0</v>
      </c>
      <c r="D24" s="513"/>
      <c r="E24" s="336" t="s">
        <v>19</v>
      </c>
      <c r="F24" s="30"/>
      <c r="G24" s="29"/>
    </row>
    <row r="25" spans="1:7" ht="15">
      <c r="A25" s="354" t="s">
        <v>495</v>
      </c>
      <c r="B25" s="232"/>
      <c r="C25" s="352">
        <f>D25*$E$4</f>
        <v>0</v>
      </c>
      <c r="D25" s="627">
        <v>200</v>
      </c>
      <c r="E25" s="336" t="s">
        <v>19</v>
      </c>
      <c r="F25" s="30"/>
      <c r="G25" s="29"/>
    </row>
    <row r="26" spans="1:7" ht="15">
      <c r="A26" s="354" t="s">
        <v>320</v>
      </c>
      <c r="B26" s="232"/>
      <c r="C26" s="1275"/>
      <c r="D26" s="1274"/>
      <c r="E26" s="336"/>
      <c r="F26" s="30"/>
      <c r="G26" s="29"/>
    </row>
    <row r="27" spans="1:7" ht="15">
      <c r="A27" s="354" t="s">
        <v>320</v>
      </c>
      <c r="B27" s="437"/>
      <c r="C27" s="1275"/>
      <c r="D27" s="1274"/>
      <c r="E27" s="336"/>
      <c r="F27" s="30"/>
      <c r="G27" s="29"/>
    </row>
    <row r="28" spans="1:7" ht="15">
      <c r="A28" s="316" t="s">
        <v>27</v>
      </c>
      <c r="B28" s="128"/>
      <c r="C28" s="1276"/>
      <c r="D28" s="153">
        <f>C28*E4</f>
        <v>0</v>
      </c>
      <c r="E28" s="336" t="s">
        <v>19</v>
      </c>
      <c r="F28" s="890" t="s">
        <v>377</v>
      </c>
      <c r="G28" s="29"/>
    </row>
    <row r="29" spans="1:7" ht="15.75">
      <c r="A29" s="356" t="s">
        <v>28</v>
      </c>
      <c r="B29" s="29"/>
      <c r="C29" s="517">
        <f>SUM(C8:C16,C21:C28)</f>
        <v>0</v>
      </c>
      <c r="E29" s="144" t="s">
        <v>0</v>
      </c>
      <c r="F29" s="29"/>
      <c r="G29" s="29"/>
    </row>
    <row r="30" spans="1:7" ht="15.75">
      <c r="A30" s="313"/>
      <c r="D30" s="1336" t="e">
        <f>C29/E5</f>
        <v>#DIV/0!</v>
      </c>
      <c r="E30" s="144" t="s">
        <v>16</v>
      </c>
      <c r="F30" s="127"/>
      <c r="G30" s="30"/>
    </row>
    <row r="31" spans="1:7" ht="15.75">
      <c r="A31" s="357"/>
      <c r="B31" s="29"/>
      <c r="D31" s="1336" t="e">
        <f>C29/E4</f>
        <v>#DIV/0!</v>
      </c>
      <c r="E31" s="144" t="s">
        <v>19</v>
      </c>
      <c r="F31" s="30"/>
      <c r="G31" s="30"/>
    </row>
    <row r="32" spans="1:7" ht="15">
      <c r="A32" s="357"/>
      <c r="B32" s="29"/>
      <c r="C32" s="30"/>
      <c r="D32" s="30"/>
      <c r="E32" s="336"/>
      <c r="F32" s="30"/>
      <c r="G32" s="30"/>
    </row>
    <row r="33" spans="1:7" ht="15">
      <c r="A33" s="316" t="s">
        <v>29</v>
      </c>
      <c r="B33" s="390"/>
      <c r="C33" s="391">
        <v>0</v>
      </c>
      <c r="E33" s="336"/>
      <c r="F33" s="890" t="s">
        <v>651</v>
      </c>
      <c r="G33" s="30"/>
    </row>
    <row r="34" spans="1:7" ht="15">
      <c r="A34" s="316"/>
      <c r="B34" s="29"/>
      <c r="C34" s="30"/>
      <c r="D34" s="30"/>
      <c r="E34" s="336"/>
      <c r="F34" s="30"/>
      <c r="G34" s="30"/>
    </row>
    <row r="35" spans="1:7" ht="15.75">
      <c r="A35" s="356" t="s">
        <v>136</v>
      </c>
      <c r="B35" s="29"/>
      <c r="C35" s="73">
        <f>Expenses+C33</f>
        <v>0</v>
      </c>
      <c r="D35" s="30"/>
      <c r="E35" s="336"/>
      <c r="F35" s="30"/>
      <c r="G35" s="30"/>
    </row>
    <row r="36" spans="1:7" ht="15.75">
      <c r="A36" s="358"/>
      <c r="B36" s="29"/>
      <c r="C36" s="1336" t="e">
        <f>C35/E5</f>
        <v>#DIV/0!</v>
      </c>
      <c r="D36" s="74" t="s">
        <v>16</v>
      </c>
      <c r="E36" s="300"/>
      <c r="F36" s="30"/>
      <c r="G36" s="30"/>
    </row>
    <row r="37" spans="1:7" ht="15.75">
      <c r="A37" s="317"/>
      <c r="B37" s="318"/>
      <c r="C37" s="1337" t="e">
        <f>C35/E4</f>
        <v>#DIV/0!</v>
      </c>
      <c r="D37" s="1346" t="s">
        <v>19</v>
      </c>
      <c r="E37" s="364"/>
      <c r="F37" s="30"/>
      <c r="G37" s="30"/>
    </row>
    <row r="38" spans="1:7" ht="15.75">
      <c r="A38" s="29"/>
      <c r="B38" s="29"/>
      <c r="C38" s="73"/>
      <c r="D38" s="73"/>
      <c r="E38" s="74"/>
      <c r="F38" s="30"/>
      <c r="G38" s="30"/>
    </row>
    <row r="39" spans="1:7" ht="15">
      <c r="A39" s="29"/>
      <c r="B39" s="29"/>
      <c r="C39" s="30"/>
      <c r="D39" s="30"/>
      <c r="E39" s="29"/>
      <c r="F39" s="30"/>
      <c r="G39" s="30"/>
    </row>
    <row r="40" spans="1:7" ht="15">
      <c r="A40" s="234"/>
      <c r="B40" s="233"/>
      <c r="C40" s="29"/>
      <c r="D40" s="30"/>
      <c r="E40" s="29"/>
      <c r="F40" s="29"/>
      <c r="G40" s="29"/>
    </row>
  </sheetData>
  <sheetProtection/>
  <printOptions horizontalCentered="1" verticalCentered="1"/>
  <pageMargins left="0.75" right="0.5" top="0.75" bottom="0.5" header="0.5" footer="0.5"/>
  <pageSetup firstPageNumber="210" useFirstPageNumber="1"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41"/>
    <pageSetUpPr fitToPage="1"/>
  </sheetPr>
  <dimension ref="A1:T46"/>
  <sheetViews>
    <sheetView defaultGridColor="0" zoomScale="70" zoomScaleNormal="70" zoomScalePageLayoutView="0" colorId="22" workbookViewId="0" topLeftCell="A1">
      <selection activeCell="A4" sqref="A4"/>
    </sheetView>
  </sheetViews>
  <sheetFormatPr defaultColWidth="9.77734375" defaultRowHeight="15"/>
  <cols>
    <col min="1" max="1" width="29.6640625" style="0" customWidth="1"/>
    <col min="2" max="2" width="11.77734375" style="0" bestFit="1" customWidth="1"/>
    <col min="3" max="3" width="9.77734375" style="0" customWidth="1"/>
    <col min="4" max="4" width="13.10546875" style="0" customWidth="1"/>
    <col min="5" max="5" width="9.77734375" style="0" customWidth="1"/>
    <col min="6" max="7" width="12.6640625" style="0" customWidth="1"/>
    <col min="8" max="8" width="20.88671875" style="0" customWidth="1"/>
    <col min="9" max="9" width="16.88671875" style="0" customWidth="1"/>
    <col min="10" max="10" width="15.6640625" style="0" customWidth="1"/>
    <col min="11" max="11" width="14.88671875" style="0" customWidth="1"/>
    <col min="12" max="12" width="12.6640625" style="0" customWidth="1"/>
    <col min="13" max="13" width="10.77734375" style="0" bestFit="1" customWidth="1"/>
    <col min="14" max="14" width="10.99609375" style="0" bestFit="1" customWidth="1"/>
  </cols>
  <sheetData>
    <row r="1" spans="1:14" ht="15.75">
      <c r="A1" s="1" t="str">
        <f>'1. M and O'!A1</f>
        <v>Willets Point Phase 1 Development</v>
      </c>
      <c r="E1" s="2"/>
      <c r="F1" s="47"/>
      <c r="G1" s="2"/>
      <c r="H1" s="2"/>
      <c r="I1" s="2"/>
      <c r="J1" s="2"/>
      <c r="K1" s="25"/>
      <c r="L1" s="25"/>
      <c r="M1" s="2"/>
      <c r="N1" s="2"/>
    </row>
    <row r="2" spans="1:14" ht="15.75">
      <c r="A2" s="1" t="str">
        <f>'1. M and O'!A2</f>
        <v>Building 1</v>
      </c>
      <c r="B2" s="2"/>
      <c r="E2" s="2"/>
      <c r="F2" s="2"/>
      <c r="G2" s="2"/>
      <c r="H2" s="2"/>
      <c r="I2" s="2"/>
      <c r="J2" s="2"/>
      <c r="K2" s="731" t="str">
        <f>'1. Units &amp; Income'!H2</f>
        <v>Units:</v>
      </c>
      <c r="L2" s="731">
        <f>'1. Units &amp; Income'!I2</f>
        <v>0</v>
      </c>
      <c r="M2" s="2"/>
      <c r="N2" s="2"/>
    </row>
    <row r="3" spans="1:14" ht="15.75">
      <c r="A3" s="1"/>
      <c r="B3" s="2"/>
      <c r="C3" s="2"/>
      <c r="D3" s="2"/>
      <c r="E3" s="2"/>
      <c r="F3" s="2"/>
      <c r="G3" s="2"/>
      <c r="H3" s="2"/>
      <c r="I3" s="2"/>
      <c r="J3" s="2"/>
      <c r="K3" s="731" t="str">
        <f>'1. Units &amp; Income'!H3</f>
        <v>Rooms:</v>
      </c>
      <c r="L3" s="731">
        <f>'1. Units &amp; Income'!I3</f>
        <v>0</v>
      </c>
      <c r="M3" s="2"/>
      <c r="N3" s="2"/>
    </row>
    <row r="4" spans="2:14" ht="15">
      <c r="B4" s="2"/>
      <c r="C4" s="2"/>
      <c r="D4" s="2"/>
      <c r="E4" s="2"/>
      <c r="F4" s="109" t="s">
        <v>31</v>
      </c>
      <c r="G4" s="2"/>
      <c r="H4" s="4"/>
      <c r="I4" s="4"/>
      <c r="J4" s="4"/>
      <c r="K4" s="15"/>
      <c r="L4" s="2"/>
      <c r="M4" s="2"/>
      <c r="N4" s="2"/>
    </row>
    <row r="5" spans="1:14" ht="15.75">
      <c r="A5" s="31" t="s">
        <v>209</v>
      </c>
      <c r="B5" s="2"/>
      <c r="C5" s="2"/>
      <c r="D5" s="2"/>
      <c r="E5" s="2"/>
      <c r="F5" s="109" t="s">
        <v>166</v>
      </c>
      <c r="G5" s="2"/>
      <c r="H5" s="2"/>
      <c r="I5" s="2"/>
      <c r="J5" s="2"/>
      <c r="K5" s="4"/>
      <c r="L5" s="15"/>
      <c r="M5" s="15"/>
      <c r="N5" s="15"/>
    </row>
    <row r="6" spans="1:14" ht="16.5" thickBot="1">
      <c r="A6" s="321"/>
      <c r="B6" s="322"/>
      <c r="C6" s="322"/>
      <c r="D6" s="322"/>
      <c r="E6" s="320"/>
      <c r="F6" s="324"/>
      <c r="G6" s="324"/>
      <c r="H6" s="324"/>
      <c r="I6" s="324"/>
      <c r="J6" s="324"/>
      <c r="K6" s="325"/>
      <c r="L6" s="325"/>
      <c r="M6" s="4"/>
      <c r="N6" s="4"/>
    </row>
    <row r="7" spans="1:14" ht="16.5" thickTop="1">
      <c r="A7" s="36"/>
      <c r="B7" s="19"/>
      <c r="C7" s="19"/>
      <c r="D7" s="295"/>
      <c r="E7" s="331"/>
      <c r="F7" s="219" t="s">
        <v>210</v>
      </c>
      <c r="G7" s="219"/>
      <c r="H7" s="379"/>
      <c r="I7" s="440" t="s">
        <v>170</v>
      </c>
      <c r="J7" s="323"/>
      <c r="K7" s="153"/>
      <c r="L7" s="326"/>
      <c r="M7" s="2"/>
      <c r="N7" s="2"/>
    </row>
    <row r="8" spans="1:14" ht="15.75">
      <c r="A8" s="304" t="s">
        <v>167</v>
      </c>
      <c r="B8" s="17"/>
      <c r="C8" s="17"/>
      <c r="D8" s="14"/>
      <c r="E8" s="331"/>
      <c r="F8" s="214"/>
      <c r="G8" s="173"/>
      <c r="H8" s="367"/>
      <c r="I8" s="441"/>
      <c r="J8" s="153"/>
      <c r="K8" s="154" t="s">
        <v>245</v>
      </c>
      <c r="L8" s="327"/>
      <c r="M8" s="2"/>
      <c r="N8" s="2"/>
    </row>
    <row r="9" spans="1:14" ht="15">
      <c r="A9" s="305" t="s">
        <v>129</v>
      </c>
      <c r="B9" s="303"/>
      <c r="C9" s="17"/>
      <c r="D9" s="14">
        <f>'1. Units &amp; Income'!I102</f>
        <v>0</v>
      </c>
      <c r="E9" s="28"/>
      <c r="F9" s="214" t="s">
        <v>211</v>
      </c>
      <c r="G9" s="173"/>
      <c r="H9" s="449"/>
      <c r="I9" s="441"/>
      <c r="J9" s="155" t="s">
        <v>217</v>
      </c>
      <c r="K9" s="451"/>
      <c r="L9" s="328"/>
      <c r="M9" s="2"/>
      <c r="N9" s="2"/>
    </row>
    <row r="10" spans="1:13" ht="15">
      <c r="A10" s="362" t="s">
        <v>159</v>
      </c>
      <c r="B10" s="346"/>
      <c r="C10" s="22"/>
      <c r="D10" s="14">
        <f>B10*-D9</f>
        <v>0</v>
      </c>
      <c r="E10" s="28"/>
      <c r="F10" s="330" t="s">
        <v>212</v>
      </c>
      <c r="G10" s="174"/>
      <c r="H10" s="449"/>
      <c r="I10" s="442"/>
      <c r="J10" s="155" t="s">
        <v>291</v>
      </c>
      <c r="K10" s="451"/>
      <c r="L10" s="328"/>
      <c r="M10" s="2"/>
    </row>
    <row r="11" spans="1:13" ht="15">
      <c r="A11" s="307" t="s">
        <v>32</v>
      </c>
      <c r="B11" s="123"/>
      <c r="C11" s="123"/>
      <c r="D11" s="296">
        <f>D9+D10</f>
        <v>0</v>
      </c>
      <c r="E11" s="28"/>
      <c r="F11" s="214" t="s">
        <v>213</v>
      </c>
      <c r="G11" s="173"/>
      <c r="H11" s="450"/>
      <c r="I11" s="442"/>
      <c r="J11" s="157" t="s">
        <v>33</v>
      </c>
      <c r="K11" s="451"/>
      <c r="L11" s="328"/>
      <c r="M11" s="2"/>
    </row>
    <row r="12" spans="1:13" ht="15">
      <c r="A12" s="308"/>
      <c r="B12" s="44"/>
      <c r="C12" s="44"/>
      <c r="D12" s="297"/>
      <c r="E12" s="28"/>
      <c r="F12" s="214" t="s">
        <v>214</v>
      </c>
      <c r="G12" s="173"/>
      <c r="H12" s="449"/>
      <c r="I12" s="442"/>
      <c r="J12" s="155" t="s">
        <v>34</v>
      </c>
      <c r="K12" s="156">
        <f>SUM(K9:K11)</f>
        <v>0</v>
      </c>
      <c r="L12" s="328"/>
      <c r="M12" s="2"/>
    </row>
    <row r="13" spans="1:16" ht="15">
      <c r="A13" s="305" t="s">
        <v>109</v>
      </c>
      <c r="B13" s="22"/>
      <c r="C13" s="22"/>
      <c r="D13" s="14">
        <f>'1. Units &amp; Income'!D31</f>
        <v>0</v>
      </c>
      <c r="E13" s="28"/>
      <c r="F13" s="214" t="s">
        <v>215</v>
      </c>
      <c r="G13" s="173"/>
      <c r="H13" s="449"/>
      <c r="I13" s="442"/>
      <c r="J13" s="158"/>
      <c r="K13" s="159"/>
      <c r="L13" s="329"/>
      <c r="M13" s="2"/>
      <c r="P13" s="172"/>
    </row>
    <row r="14" spans="1:13" ht="15">
      <c r="A14" s="305" t="s">
        <v>160</v>
      </c>
      <c r="B14" s="22"/>
      <c r="C14" s="22"/>
      <c r="D14" s="14">
        <f>'1. Units &amp; Income'!D34</f>
        <v>0</v>
      </c>
      <c r="E14" s="28"/>
      <c r="F14" s="282" t="s">
        <v>216</v>
      </c>
      <c r="G14" s="186"/>
      <c r="H14" s="450"/>
      <c r="I14" s="442"/>
      <c r="J14" s="152"/>
      <c r="K14" s="153"/>
      <c r="L14" s="329"/>
      <c r="M14" s="2"/>
    </row>
    <row r="15" spans="1:14" ht="15">
      <c r="A15" s="305" t="s">
        <v>161</v>
      </c>
      <c r="B15" s="22"/>
      <c r="C15" s="22"/>
      <c r="D15" s="14">
        <f>'1. Units &amp; Income'!D36</f>
        <v>0</v>
      </c>
      <c r="E15" s="28"/>
      <c r="F15" s="366"/>
      <c r="G15" s="129"/>
      <c r="H15" s="452">
        <f>SUM(H9:H14)</f>
        <v>0</v>
      </c>
      <c r="I15" s="443"/>
      <c r="J15" s="129"/>
      <c r="K15" s="363"/>
      <c r="L15" s="336"/>
      <c r="M15" s="2"/>
      <c r="N15" s="2"/>
    </row>
    <row r="16" spans="1:16" ht="15">
      <c r="A16" s="305" t="s">
        <v>35</v>
      </c>
      <c r="B16" s="22"/>
      <c r="C16" s="22"/>
      <c r="D16" s="14">
        <f>'1. Units &amp; Income'!D39</f>
        <v>0</v>
      </c>
      <c r="E16" s="18"/>
      <c r="F16" s="365"/>
      <c r="G16" s="235"/>
      <c r="H16" s="235"/>
      <c r="I16" s="444"/>
      <c r="J16" s="235"/>
      <c r="K16" s="235"/>
      <c r="L16" s="364"/>
      <c r="M16" s="2"/>
      <c r="N16" s="2"/>
      <c r="P16" s="172"/>
    </row>
    <row r="17" spans="1:14" ht="15.75" thickBot="1">
      <c r="A17" s="306" t="s">
        <v>162</v>
      </c>
      <c r="B17" s="346"/>
      <c r="C17" s="22"/>
      <c r="D17" s="14">
        <f>-(D13*B17)</f>
        <v>0</v>
      </c>
      <c r="E17" s="18"/>
      <c r="F17" s="324"/>
      <c r="G17" s="324"/>
      <c r="H17" s="324"/>
      <c r="I17" s="324"/>
      <c r="J17" s="324"/>
      <c r="K17" s="338"/>
      <c r="L17" s="339"/>
      <c r="M17" s="2"/>
      <c r="N17" s="2"/>
    </row>
    <row r="18" spans="1:12" ht="15.75" thickTop="1">
      <c r="A18" s="306" t="s">
        <v>164</v>
      </c>
      <c r="B18" s="345"/>
      <c r="C18" s="20"/>
      <c r="D18" s="14">
        <f>-(D14*B18)</f>
        <v>0</v>
      </c>
      <c r="E18" s="332"/>
      <c r="F18" s="18"/>
      <c r="H18" s="3"/>
      <c r="I18" s="368"/>
      <c r="J18" s="2"/>
      <c r="K18" s="2"/>
      <c r="L18" s="336"/>
    </row>
    <row r="19" spans="1:12" ht="15">
      <c r="A19" s="309" t="s">
        <v>169</v>
      </c>
      <c r="B19" s="345"/>
      <c r="D19" s="14">
        <f>-(D15*B19)</f>
        <v>0</v>
      </c>
      <c r="E19" s="332"/>
      <c r="F19" s="18"/>
      <c r="H19" s="6"/>
      <c r="I19" s="369"/>
      <c r="J19" s="9"/>
      <c r="K19" s="4"/>
      <c r="L19" s="336"/>
    </row>
    <row r="20" spans="1:12" ht="15">
      <c r="A20" s="306" t="s">
        <v>163</v>
      </c>
      <c r="B20" s="345"/>
      <c r="C20" s="44"/>
      <c r="D20" s="14">
        <f>-(D16*B20)</f>
        <v>0</v>
      </c>
      <c r="E20" s="332"/>
      <c r="F20" s="18"/>
      <c r="I20" s="370"/>
      <c r="J20" s="2"/>
      <c r="K20" s="2"/>
      <c r="L20" s="336"/>
    </row>
    <row r="21" spans="1:12" ht="15">
      <c r="A21" s="310" t="s">
        <v>165</v>
      </c>
      <c r="B21" s="122"/>
      <c r="C21" s="122"/>
      <c r="D21" s="296">
        <f>SUM(D13:D20)</f>
        <v>0</v>
      </c>
      <c r="E21" s="332"/>
      <c r="F21" s="18"/>
      <c r="H21" s="3" t="s">
        <v>36</v>
      </c>
      <c r="I21" s="374"/>
      <c r="J21" s="2" t="s">
        <v>337</v>
      </c>
      <c r="K21" s="2"/>
      <c r="L21" s="336"/>
    </row>
    <row r="22" spans="1:12" ht="15.75">
      <c r="A22" s="311" t="s">
        <v>168</v>
      </c>
      <c r="B22" s="121"/>
      <c r="C22" s="121"/>
      <c r="D22" s="298">
        <f>D11+D21</f>
        <v>0</v>
      </c>
      <c r="E22" s="332"/>
      <c r="F22" s="18"/>
      <c r="H22" s="3" t="s">
        <v>293</v>
      </c>
      <c r="I22" s="368">
        <f>SECOND</f>
        <v>0</v>
      </c>
      <c r="L22" s="300"/>
    </row>
    <row r="23" spans="1:12" ht="15">
      <c r="A23" s="312"/>
      <c r="B23" s="22"/>
      <c r="C23" s="22"/>
      <c r="D23" s="14"/>
      <c r="E23" s="332"/>
      <c r="F23" s="18"/>
      <c r="G23" s="131"/>
      <c r="H23" s="3" t="s">
        <v>238</v>
      </c>
      <c r="I23" s="371">
        <f>J29</f>
        <v>0</v>
      </c>
      <c r="J23" s="2"/>
      <c r="K23" s="2"/>
      <c r="L23" s="336"/>
    </row>
    <row r="24" spans="1:12" ht="15.75">
      <c r="A24" s="304" t="s">
        <v>71</v>
      </c>
      <c r="B24" s="22"/>
      <c r="C24" s="22"/>
      <c r="D24" s="14"/>
      <c r="E24" s="332"/>
      <c r="F24" s="18"/>
      <c r="H24" s="124" t="s">
        <v>239</v>
      </c>
      <c r="I24" s="371">
        <f>K29</f>
        <v>0</v>
      </c>
      <c r="J24" s="2"/>
      <c r="K24" s="2"/>
      <c r="L24" s="336"/>
    </row>
    <row r="25" spans="1:12" ht="15">
      <c r="A25" s="305" t="s">
        <v>40</v>
      </c>
      <c r="B25" s="21" t="e">
        <f>D25/'1. Units &amp; Income'!B24</f>
        <v>#DIV/0!</v>
      </c>
      <c r="C25" s="21" t="s">
        <v>19</v>
      </c>
      <c r="D25" s="14">
        <f>'1. M and O'!C29-'1. M and O'!C28</f>
        <v>0</v>
      </c>
      <c r="E25" s="332"/>
      <c r="F25" s="66"/>
      <c r="G25" s="318"/>
      <c r="H25" s="334" t="s">
        <v>37</v>
      </c>
      <c r="I25" s="434">
        <f>I21+I22+I23+I24</f>
        <v>0</v>
      </c>
      <c r="J25" s="318"/>
      <c r="K25" s="318"/>
      <c r="L25" s="337"/>
    </row>
    <row r="26" spans="1:20" ht="15.75" thickBot="1">
      <c r="A26" s="305" t="s">
        <v>41</v>
      </c>
      <c r="B26" s="21" t="e">
        <f>D26/'1. Units &amp; Income'!B24</f>
        <v>#DIV/0!</v>
      </c>
      <c r="C26" s="21" t="s">
        <v>19</v>
      </c>
      <c r="D26" s="14">
        <f>'1. M and O'!C33</f>
        <v>0</v>
      </c>
      <c r="F26" s="340"/>
      <c r="G26" s="341"/>
      <c r="H26" s="341"/>
      <c r="I26" s="341"/>
      <c r="J26" s="341"/>
      <c r="K26" s="341"/>
      <c r="L26" s="341"/>
      <c r="M26" s="153"/>
      <c r="N26" s="153"/>
      <c r="O26" s="153"/>
      <c r="P26" s="153"/>
      <c r="Q26" s="153"/>
      <c r="R26" s="153"/>
      <c r="S26" s="153"/>
      <c r="T26" s="153"/>
    </row>
    <row r="27" spans="1:20" ht="15.75" thickTop="1">
      <c r="A27" s="305" t="s">
        <v>43</v>
      </c>
      <c r="B27" s="21" t="e">
        <f>D27/'1. Units &amp; Income'!B24</f>
        <v>#DIV/0!</v>
      </c>
      <c r="C27" s="17" t="s">
        <v>19</v>
      </c>
      <c r="D27" s="14">
        <f>'1. M and O'!C28</f>
        <v>0</v>
      </c>
      <c r="E27" s="332"/>
      <c r="H27" s="1277"/>
      <c r="I27" s="1286"/>
      <c r="J27" s="1286"/>
      <c r="L27" s="1288"/>
      <c r="M27" s="153"/>
      <c r="N27" s="153"/>
      <c r="O27" s="153"/>
      <c r="P27" s="153"/>
      <c r="Q27" s="153"/>
      <c r="R27" s="153"/>
      <c r="S27" s="153"/>
      <c r="T27" s="153"/>
    </row>
    <row r="28" spans="1:20" ht="15.75">
      <c r="A28" s="311" t="s">
        <v>30</v>
      </c>
      <c r="B28" s="7" t="e">
        <f>SUM(B25:B27)</f>
        <v>#DIV/0!</v>
      </c>
      <c r="C28" s="16" t="s">
        <v>19</v>
      </c>
      <c r="D28" s="299">
        <f>SUM(D25:D27)</f>
        <v>0</v>
      </c>
      <c r="E28" s="332"/>
      <c r="F28" s="316"/>
      <c r="G28" s="29"/>
      <c r="H28" s="349" t="s">
        <v>38</v>
      </c>
      <c r="I28" s="392" t="s">
        <v>39</v>
      </c>
      <c r="J28" s="393" t="s">
        <v>240</v>
      </c>
      <c r="K28" s="395" t="s">
        <v>241</v>
      </c>
      <c r="L28" s="1289" t="s">
        <v>0</v>
      </c>
      <c r="M28" s="172"/>
      <c r="N28" s="153"/>
      <c r="O28" s="153"/>
      <c r="P28" s="153"/>
      <c r="Q28" s="153"/>
      <c r="R28" s="153"/>
      <c r="S28" s="153"/>
      <c r="T28" s="153"/>
    </row>
    <row r="29" spans="1:13" ht="15">
      <c r="A29" s="313"/>
      <c r="D29" s="300"/>
      <c r="E29" s="332"/>
      <c r="F29" s="29"/>
      <c r="G29" s="29"/>
      <c r="H29" s="598" t="e">
        <f>ROUND(MIN('1. Devel. Bud'!D79*90%,-PV(H30/12,H31*12,H35/12,H33)),-4)</f>
        <v>#DIV/0!</v>
      </c>
      <c r="I29" s="577">
        <f>H40*('1. Units &amp; Income'!B24-SUM('1. Units &amp; Income'!H94:H97))</f>
        <v>0</v>
      </c>
      <c r="J29" s="578">
        <f>H41*('1. Units &amp; Income'!B24-SUM('1. Units &amp; Income'!H94:H97))</f>
        <v>0</v>
      </c>
      <c r="K29" s="579">
        <f>H42*('1. Units &amp; Income'!B24-SUM('1. Units &amp; Income'!H94:H97))</f>
        <v>0</v>
      </c>
      <c r="L29" s="302" t="e">
        <f>I29+H29+J29+K29</f>
        <v>#DIV/0!</v>
      </c>
      <c r="M29" s="172"/>
    </row>
    <row r="30" spans="1:13" ht="15">
      <c r="A30" s="313"/>
      <c r="D30" s="300"/>
      <c r="E30" s="332"/>
      <c r="F30" s="172"/>
      <c r="G30" s="126" t="s">
        <v>155</v>
      </c>
      <c r="H30" s="394">
        <f>K12</f>
        <v>0</v>
      </c>
      <c r="I30" s="375"/>
      <c r="J30" s="375"/>
      <c r="K30" s="375"/>
      <c r="L30" s="300"/>
      <c r="M30" s="172"/>
    </row>
    <row r="31" spans="1:13" ht="15.75">
      <c r="A31" s="304" t="s">
        <v>44</v>
      </c>
      <c r="B31" s="16"/>
      <c r="C31" s="16"/>
      <c r="D31" s="299">
        <f>D22-D28</f>
        <v>0</v>
      </c>
      <c r="E31" s="332"/>
      <c r="F31" s="29"/>
      <c r="G31" s="372" t="s">
        <v>42</v>
      </c>
      <c r="H31" s="373"/>
      <c r="I31" s="373"/>
      <c r="J31" s="374"/>
      <c r="K31" s="374"/>
      <c r="L31" s="302"/>
      <c r="M31" s="172"/>
    </row>
    <row r="32" spans="1:13" ht="15">
      <c r="A32" s="313"/>
      <c r="D32" s="300"/>
      <c r="E32" s="332"/>
      <c r="F32" s="125" t="s">
        <v>174</v>
      </c>
      <c r="G32" s="125" t="s">
        <v>171</v>
      </c>
      <c r="H32" s="30" t="e">
        <f>H29-H3</f>
        <v>#DIV/0!</v>
      </c>
      <c r="I32" s="30">
        <f>SECOND-I33</f>
        <v>0</v>
      </c>
      <c r="J32" s="30">
        <f>J29-J33</f>
        <v>0</v>
      </c>
      <c r="K32" s="30">
        <v>0</v>
      </c>
      <c r="L32" s="1290"/>
      <c r="M32" s="172"/>
    </row>
    <row r="33" spans="1:14" ht="15">
      <c r="A33" s="312"/>
      <c r="B33" s="17"/>
      <c r="C33" s="17"/>
      <c r="D33" s="14"/>
      <c r="E33" s="332"/>
      <c r="F33" s="29"/>
      <c r="G33" s="125" t="s">
        <v>45</v>
      </c>
      <c r="H33" s="30">
        <v>0</v>
      </c>
      <c r="I33" s="30">
        <f>-FV(I30/12,I31*12,-(I35/12),SECOND)</f>
        <v>0</v>
      </c>
      <c r="J33" s="30">
        <f>J29</f>
        <v>0</v>
      </c>
      <c r="K33" s="30">
        <v>0</v>
      </c>
      <c r="L33" s="1290"/>
      <c r="M33" s="172"/>
      <c r="N33" s="548"/>
    </row>
    <row r="34" spans="1:13" ht="15">
      <c r="A34" s="312" t="s">
        <v>46</v>
      </c>
      <c r="B34" s="17"/>
      <c r="C34" s="17"/>
      <c r="D34" s="14">
        <f>(+D22/1.05)-(D28)</f>
        <v>0</v>
      </c>
      <c r="E34" s="332"/>
      <c r="F34" s="172"/>
      <c r="G34" s="125" t="s">
        <v>172</v>
      </c>
      <c r="H34" s="128" t="e">
        <f>H33/FIRST</f>
        <v>#DIV/0!</v>
      </c>
      <c r="I34" s="128">
        <v>1</v>
      </c>
      <c r="J34" s="128" t="e">
        <f>J33/J29</f>
        <v>#DIV/0!</v>
      </c>
      <c r="K34" s="236">
        <v>0</v>
      </c>
      <c r="L34" s="300"/>
      <c r="M34" s="353"/>
    </row>
    <row r="35" spans="1:13" ht="15">
      <c r="A35" s="567" t="s">
        <v>342</v>
      </c>
      <c r="B35" s="235"/>
      <c r="D35" s="300"/>
      <c r="E35" s="332"/>
      <c r="F35" s="129"/>
      <c r="G35" s="125" t="s">
        <v>47</v>
      </c>
      <c r="H35" s="213" t="e">
        <f>D36-I35-J35</f>
        <v>#DIV/0!</v>
      </c>
      <c r="I35" s="213">
        <f>SECOND*I30</f>
        <v>0</v>
      </c>
      <c r="J35" s="213">
        <f>J29*J30</f>
        <v>0</v>
      </c>
      <c r="K35" s="213">
        <f>K30*K29</f>
        <v>0</v>
      </c>
      <c r="L35" s="1291" t="e">
        <f>SUM(H35:J35)</f>
        <v>#DIV/0!</v>
      </c>
      <c r="M35" s="1293"/>
    </row>
    <row r="36" spans="1:13" ht="15">
      <c r="A36" s="331" t="s">
        <v>69</v>
      </c>
      <c r="B36" s="347"/>
      <c r="D36" s="14" t="e">
        <f>NOI/B36</f>
        <v>#DIV/0!</v>
      </c>
      <c r="E36" s="332"/>
      <c r="F36" s="333"/>
      <c r="G36" s="334" t="s">
        <v>173</v>
      </c>
      <c r="H36" s="335" t="e">
        <f>NOI/H35</f>
        <v>#DIV/0!</v>
      </c>
      <c r="I36" s="335" t="e">
        <f>NOI/(I35+H35)</f>
        <v>#DIV/0!</v>
      </c>
      <c r="J36" s="335" t="e">
        <f>NOI/(J35+I35+H35)</f>
        <v>#DIV/0!</v>
      </c>
      <c r="K36" s="235"/>
      <c r="L36" s="1292" t="e">
        <f>NOI/L35</f>
        <v>#DIV/0!</v>
      </c>
      <c r="M36" s="172"/>
    </row>
    <row r="37" spans="1:12" ht="15">
      <c r="A37" s="314" t="s">
        <v>80</v>
      </c>
      <c r="D37" s="301" t="e">
        <f>D22/(D28+D36)</f>
        <v>#DIV/0!</v>
      </c>
      <c r="E37" s="18"/>
      <c r="L37" s="2"/>
    </row>
    <row r="38" spans="1:13" ht="15">
      <c r="A38" s="568" t="s">
        <v>343</v>
      </c>
      <c r="B38" s="235"/>
      <c r="D38" s="300"/>
      <c r="E38" s="18"/>
      <c r="J38" s="33"/>
      <c r="L38" s="5"/>
      <c r="M38" s="2"/>
    </row>
    <row r="39" spans="1:14" ht="15.75">
      <c r="A39" s="331" t="s">
        <v>69</v>
      </c>
      <c r="B39" s="348"/>
      <c r="D39" s="14" t="e">
        <f>D31/B39</f>
        <v>#DIV/0!</v>
      </c>
      <c r="E39" s="18"/>
      <c r="G39" s="342" t="s">
        <v>200</v>
      </c>
      <c r="H39" s="29"/>
      <c r="I39" s="127"/>
      <c r="J39" s="127"/>
      <c r="K39" s="30"/>
      <c r="L39" s="2"/>
      <c r="M39" s="2"/>
      <c r="N39" s="2"/>
    </row>
    <row r="40" spans="1:14" ht="15">
      <c r="A40" s="315" t="s">
        <v>80</v>
      </c>
      <c r="B40" s="18"/>
      <c r="C40" s="18"/>
      <c r="D40" s="301" t="e">
        <f>D22/(D28+D39)</f>
        <v>#DIV/0!</v>
      </c>
      <c r="E40" s="18"/>
      <c r="F40" s="392" t="s">
        <v>39</v>
      </c>
      <c r="G40" s="29" t="s">
        <v>283</v>
      </c>
      <c r="H40" s="344"/>
      <c r="I40" s="130" t="s">
        <v>48</v>
      </c>
      <c r="J40" s="127"/>
      <c r="K40" s="30"/>
      <c r="L40" s="2"/>
      <c r="M40" s="2"/>
      <c r="N40" s="5"/>
    </row>
    <row r="41" spans="1:14" ht="15">
      <c r="A41" s="316"/>
      <c r="B41" s="2"/>
      <c r="C41" s="2"/>
      <c r="D41" s="302"/>
      <c r="E41" s="2"/>
      <c r="F41" s="393" t="s">
        <v>240</v>
      </c>
      <c r="G41" s="2" t="s">
        <v>283</v>
      </c>
      <c r="H41" s="343"/>
      <c r="I41" s="130" t="s">
        <v>48</v>
      </c>
      <c r="J41" s="5"/>
      <c r="K41" s="2"/>
      <c r="L41" s="2"/>
      <c r="M41" s="2"/>
      <c r="N41" s="5"/>
    </row>
    <row r="42" spans="1:14" ht="15">
      <c r="A42" s="317"/>
      <c r="B42" s="318"/>
      <c r="C42" s="318"/>
      <c r="D42" s="319"/>
      <c r="E42" s="2"/>
      <c r="F42" s="395" t="s">
        <v>241</v>
      </c>
      <c r="G42" s="2" t="s">
        <v>283</v>
      </c>
      <c r="H42" s="343"/>
      <c r="I42" s="10"/>
      <c r="J42" s="553"/>
      <c r="K42" s="553"/>
      <c r="L42" s="553"/>
      <c r="M42" s="553"/>
      <c r="N42" s="5"/>
    </row>
    <row r="43" spans="1:14" ht="15">
      <c r="A43" s="23"/>
      <c r="B43" s="2"/>
      <c r="C43" s="13"/>
      <c r="D43" s="2"/>
      <c r="E43" s="2"/>
      <c r="H43" s="211"/>
      <c r="I43" s="555"/>
      <c r="J43" s="556"/>
      <c r="K43" s="556"/>
      <c r="L43" s="556"/>
      <c r="M43" s="556"/>
      <c r="N43" s="553"/>
    </row>
    <row r="44" spans="5:14" ht="15">
      <c r="E44" s="23"/>
      <c r="K44" s="33"/>
      <c r="L44" s="33"/>
      <c r="M44" s="33"/>
      <c r="N44" s="556"/>
    </row>
    <row r="45" spans="10:14" ht="15">
      <c r="J45" s="554"/>
      <c r="K45" s="554"/>
      <c r="L45" s="554"/>
      <c r="M45" s="554"/>
      <c r="N45" s="33"/>
    </row>
    <row r="46" ht="15">
      <c r="N46" s="554"/>
    </row>
  </sheetData>
  <sheetProtection/>
  <printOptions/>
  <pageMargins left="0.75" right="0.5" top="0.75" bottom="0.5" header="0.5" footer="0.5"/>
  <pageSetup firstPageNumber="211" useFirstPageNumber="1"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K41"/>
  <sheetViews>
    <sheetView zoomScale="85" zoomScaleNormal="85" zoomScalePageLayoutView="0" workbookViewId="0" topLeftCell="A1">
      <selection activeCell="A4" sqref="A4"/>
    </sheetView>
  </sheetViews>
  <sheetFormatPr defaultColWidth="8.88671875" defaultRowHeight="15"/>
  <cols>
    <col min="1" max="1" width="24.10546875" style="0" customWidth="1"/>
    <col min="2" max="2" width="9.3359375" style="0" customWidth="1"/>
    <col min="3" max="3" width="12.10546875" style="133" customWidth="1"/>
    <col min="4" max="4" width="13.77734375" style="133" customWidth="1"/>
    <col min="5" max="5" width="13.6640625" style="133" customWidth="1"/>
    <col min="6" max="6" width="12.6640625" style="133" customWidth="1"/>
    <col min="7" max="7" width="14.99609375" style="133" customWidth="1"/>
    <col min="8" max="8" width="13.88671875" style="133" customWidth="1"/>
    <col min="9" max="9" width="13.5546875" style="133" bestFit="1" customWidth="1"/>
    <col min="10" max="10" width="13.6640625" style="133" customWidth="1"/>
    <col min="11" max="11" width="13.5546875" style="133" bestFit="1" customWidth="1"/>
    <col min="12" max="14" width="15.77734375" style="133" customWidth="1"/>
  </cols>
  <sheetData>
    <row r="1" spans="1:14" ht="15.75">
      <c r="A1" s="1" t="str">
        <f>'1. Units &amp; Income'!A1</f>
        <v>Willets Point Phase 1 Development</v>
      </c>
      <c r="M1" s="430"/>
      <c r="N1" s="430"/>
    </row>
    <row r="2" spans="1:14" ht="15.75">
      <c r="A2" s="1" t="str">
        <f>'1. Sources and Use'!A2</f>
        <v>Building 1</v>
      </c>
      <c r="M2" s="430" t="str">
        <f>'1. Sources and Use'!C2</f>
        <v>Units:</v>
      </c>
      <c r="N2" s="430">
        <f>'1. Units &amp; Income'!B24</f>
        <v>0</v>
      </c>
    </row>
    <row r="3" ht="15.75">
      <c r="A3" s="1"/>
    </row>
    <row r="4" ht="15.75">
      <c r="A4" s="1"/>
    </row>
    <row r="5" ht="15.75">
      <c r="A5" s="1"/>
    </row>
    <row r="6" spans="2:14" s="124" customFormat="1" ht="15">
      <c r="B6" s="124" t="s">
        <v>175</v>
      </c>
      <c r="C6" s="138" t="s">
        <v>85</v>
      </c>
      <c r="D6" s="138" t="s">
        <v>86</v>
      </c>
      <c r="E6" s="138" t="s">
        <v>87</v>
      </c>
      <c r="F6" s="138" t="s">
        <v>88</v>
      </c>
      <c r="G6" s="138" t="s">
        <v>89</v>
      </c>
      <c r="H6" s="138" t="s">
        <v>90</v>
      </c>
      <c r="I6" s="138" t="s">
        <v>91</v>
      </c>
      <c r="J6" s="138" t="s">
        <v>92</v>
      </c>
      <c r="K6" s="138" t="s">
        <v>93</v>
      </c>
      <c r="L6" s="138" t="s">
        <v>94</v>
      </c>
      <c r="M6" s="138" t="s">
        <v>121</v>
      </c>
      <c r="N6" s="138" t="s">
        <v>122</v>
      </c>
    </row>
    <row r="7" spans="3:14" s="124" customFormat="1" ht="15"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s="124" customFormat="1" ht="15.75">
      <c r="A8" s="137" t="s">
        <v>176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37" ht="15">
      <c r="A9" s="124" t="s">
        <v>129</v>
      </c>
      <c r="B9" s="136"/>
      <c r="C9" s="133">
        <f>'1. Mort'!D11</f>
        <v>0</v>
      </c>
      <c r="D9" s="133">
        <f>C9*(1+$B$9)</f>
        <v>0</v>
      </c>
      <c r="E9" s="133">
        <f>D9*(1+$B$9)</f>
        <v>0</v>
      </c>
      <c r="F9" s="133">
        <f aca="true" t="shared" si="0" ref="F9:N9">E9*(1+$B$9)</f>
        <v>0</v>
      </c>
      <c r="G9" s="133">
        <f t="shared" si="0"/>
        <v>0</v>
      </c>
      <c r="H9" s="133">
        <f t="shared" si="0"/>
        <v>0</v>
      </c>
      <c r="I9" s="133">
        <f t="shared" si="0"/>
        <v>0</v>
      </c>
      <c r="J9" s="133">
        <f t="shared" si="0"/>
        <v>0</v>
      </c>
      <c r="K9" s="133">
        <f t="shared" si="0"/>
        <v>0</v>
      </c>
      <c r="L9" s="133">
        <f t="shared" si="0"/>
        <v>0</v>
      </c>
      <c r="M9" s="133">
        <f t="shared" si="0"/>
        <v>0</v>
      </c>
      <c r="N9" s="133">
        <f t="shared" si="0"/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14" ht="15">
      <c r="A10" s="124" t="s">
        <v>109</v>
      </c>
      <c r="B10" s="136"/>
      <c r="C10" s="133">
        <f>'1. Mort'!D13+'1. Mort'!D17</f>
        <v>0</v>
      </c>
      <c r="D10" s="133">
        <f aca="true" t="shared" si="1" ref="D10:N10">(C10*$B$10)+C10</f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  <c r="H10" s="133">
        <f t="shared" si="1"/>
        <v>0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133">
        <f t="shared" si="1"/>
        <v>0</v>
      </c>
    </row>
    <row r="11" spans="1:37" ht="15">
      <c r="A11" s="124" t="s">
        <v>127</v>
      </c>
      <c r="B11" s="136"/>
      <c r="C11" s="133">
        <f>'1. Mort'!D14+'1. Mort'!D18</f>
        <v>0</v>
      </c>
      <c r="D11" s="133">
        <f>C11</f>
        <v>0</v>
      </c>
      <c r="E11" s="133">
        <f>D11*(1+B11)</f>
        <v>0</v>
      </c>
      <c r="F11" s="133">
        <f>E11</f>
        <v>0</v>
      </c>
      <c r="G11" s="133">
        <f>F11*(1+B11)</f>
        <v>0</v>
      </c>
      <c r="H11" s="133">
        <f>G11</f>
        <v>0</v>
      </c>
      <c r="I11" s="133">
        <f>H11*(1+B11)</f>
        <v>0</v>
      </c>
      <c r="J11" s="133">
        <f>I11</f>
        <v>0</v>
      </c>
      <c r="K11" s="133">
        <f>J11*(1+B11)</f>
        <v>0</v>
      </c>
      <c r="L11" s="133">
        <f>K11</f>
        <v>0</v>
      </c>
      <c r="M11" s="133">
        <f>L11*(1+B11)</f>
        <v>0</v>
      </c>
      <c r="N11" s="133">
        <f>M11</f>
        <v>0</v>
      </c>
      <c r="O11" s="33"/>
      <c r="P11" s="33"/>
      <c r="Q11" s="33"/>
      <c r="R11" s="33"/>
      <c r="S11" s="33"/>
      <c r="T11" s="33"/>
      <c r="U11" s="33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5">
      <c r="A12" s="124" t="s">
        <v>161</v>
      </c>
      <c r="B12" s="136"/>
      <c r="C12" s="133">
        <f>'1. Mort'!D15+'1. Mort'!D19</f>
        <v>0</v>
      </c>
      <c r="D12" s="133">
        <f>C12</f>
        <v>0</v>
      </c>
      <c r="E12" s="133">
        <f>D12*(1+B12)</f>
        <v>0</v>
      </c>
      <c r="F12" s="133">
        <f>E12</f>
        <v>0</v>
      </c>
      <c r="G12" s="133">
        <f>F12*(1+B12)</f>
        <v>0</v>
      </c>
      <c r="H12" s="133">
        <f>G12</f>
        <v>0</v>
      </c>
      <c r="I12" s="133">
        <f>H12*(1+B12)</f>
        <v>0</v>
      </c>
      <c r="J12" s="133">
        <f>I12</f>
        <v>0</v>
      </c>
      <c r="K12" s="133">
        <f>J12*(1+B12)</f>
        <v>0</v>
      </c>
      <c r="L12" s="133">
        <f>K12</f>
        <v>0</v>
      </c>
      <c r="M12" s="133">
        <f>L12*(1+B12)</f>
        <v>0</v>
      </c>
      <c r="N12" s="133">
        <f>M12</f>
        <v>0</v>
      </c>
      <c r="O12" s="33"/>
      <c r="P12" s="33"/>
      <c r="Q12" s="33"/>
      <c r="R12" s="33"/>
      <c r="S12" s="33"/>
      <c r="T12" s="33"/>
      <c r="U12" s="33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5">
      <c r="A13" s="124" t="s">
        <v>116</v>
      </c>
      <c r="B13" s="136"/>
      <c r="C13" s="133">
        <f>'1. Mort'!D16+'1. Mort'!D20</f>
        <v>0</v>
      </c>
      <c r="D13" s="133">
        <f>(C13*$B$13)+C13</f>
        <v>0</v>
      </c>
      <c r="E13" s="133">
        <f aca="true" t="shared" si="2" ref="E13:N13">(D13*$B$13)+D13</f>
        <v>0</v>
      </c>
      <c r="F13" s="133">
        <f t="shared" si="2"/>
        <v>0</v>
      </c>
      <c r="G13" s="133">
        <f t="shared" si="2"/>
        <v>0</v>
      </c>
      <c r="H13" s="133">
        <f t="shared" si="2"/>
        <v>0</v>
      </c>
      <c r="I13" s="133">
        <f t="shared" si="2"/>
        <v>0</v>
      </c>
      <c r="J13" s="133">
        <f t="shared" si="2"/>
        <v>0</v>
      </c>
      <c r="K13" s="133">
        <f t="shared" si="2"/>
        <v>0</v>
      </c>
      <c r="L13" s="133">
        <f t="shared" si="2"/>
        <v>0</v>
      </c>
      <c r="M13" s="133">
        <f t="shared" si="2"/>
        <v>0</v>
      </c>
      <c r="N13" s="133">
        <f t="shared" si="2"/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14" s="31" customFormat="1" ht="15.75">
      <c r="A14" s="107" t="s">
        <v>95</v>
      </c>
      <c r="C14" s="90">
        <f aca="true" t="shared" si="3" ref="C14:N14">SUM(C9:C13)</f>
        <v>0</v>
      </c>
      <c r="D14" s="90">
        <f t="shared" si="3"/>
        <v>0</v>
      </c>
      <c r="E14" s="90">
        <f t="shared" si="3"/>
        <v>0</v>
      </c>
      <c r="F14" s="90">
        <f t="shared" si="3"/>
        <v>0</v>
      </c>
      <c r="G14" s="90">
        <f t="shared" si="3"/>
        <v>0</v>
      </c>
      <c r="H14" s="90">
        <f t="shared" si="3"/>
        <v>0</v>
      </c>
      <c r="I14" s="90">
        <f t="shared" si="3"/>
        <v>0</v>
      </c>
      <c r="J14" s="90">
        <f t="shared" si="3"/>
        <v>0</v>
      </c>
      <c r="K14" s="90">
        <f t="shared" si="3"/>
        <v>0</v>
      </c>
      <c r="L14" s="90">
        <f t="shared" si="3"/>
        <v>0</v>
      </c>
      <c r="M14" s="90">
        <f t="shared" si="3"/>
        <v>0</v>
      </c>
      <c r="N14" s="90">
        <f t="shared" si="3"/>
        <v>0</v>
      </c>
    </row>
    <row r="15" ht="15">
      <c r="A15" s="124"/>
    </row>
    <row r="16" ht="15.75">
      <c r="A16" s="137" t="s">
        <v>177</v>
      </c>
    </row>
    <row r="17" spans="1:14" ht="15">
      <c r="A17" s="124" t="s">
        <v>96</v>
      </c>
      <c r="B17" s="136"/>
      <c r="C17" s="133">
        <f>'1. Mort'!D25+'1. Mort'!D26</f>
        <v>0</v>
      </c>
      <c r="D17" s="133">
        <f>C17*(1+$B$17)</f>
        <v>0</v>
      </c>
      <c r="E17" s="133">
        <f aca="true" t="shared" si="4" ref="E17:N17">D17*(1+$B$17)</f>
        <v>0</v>
      </c>
      <c r="F17" s="133">
        <f t="shared" si="4"/>
        <v>0</v>
      </c>
      <c r="G17" s="133">
        <f t="shared" si="4"/>
        <v>0</v>
      </c>
      <c r="H17" s="133">
        <f t="shared" si="4"/>
        <v>0</v>
      </c>
      <c r="I17" s="133">
        <f t="shared" si="4"/>
        <v>0</v>
      </c>
      <c r="J17" s="133">
        <f t="shared" si="4"/>
        <v>0</v>
      </c>
      <c r="K17" s="133">
        <f t="shared" si="4"/>
        <v>0</v>
      </c>
      <c r="L17" s="133">
        <f t="shared" si="4"/>
        <v>0</v>
      </c>
      <c r="M17" s="133">
        <f t="shared" si="4"/>
        <v>0</v>
      </c>
      <c r="N17" s="133">
        <f t="shared" si="4"/>
        <v>0</v>
      </c>
    </row>
    <row r="18" spans="1:16" ht="15">
      <c r="A18" s="124" t="s">
        <v>97</v>
      </c>
      <c r="B18" s="136"/>
      <c r="C18" s="133">
        <f>'1. Mort'!D27</f>
        <v>0</v>
      </c>
      <c r="D18" s="133">
        <f aca="true" t="shared" si="5" ref="D18:N18">C18</f>
        <v>0</v>
      </c>
      <c r="E18" s="133">
        <f t="shared" si="5"/>
        <v>0</v>
      </c>
      <c r="F18" s="133">
        <f t="shared" si="5"/>
        <v>0</v>
      </c>
      <c r="G18" s="133">
        <f t="shared" si="5"/>
        <v>0</v>
      </c>
      <c r="H18" s="133">
        <f t="shared" si="5"/>
        <v>0</v>
      </c>
      <c r="I18" s="133">
        <f t="shared" si="5"/>
        <v>0</v>
      </c>
      <c r="J18" s="133">
        <f t="shared" si="5"/>
        <v>0</v>
      </c>
      <c r="K18" s="133">
        <f t="shared" si="5"/>
        <v>0</v>
      </c>
      <c r="L18" s="133">
        <f t="shared" si="5"/>
        <v>0</v>
      </c>
      <c r="M18" s="133">
        <f t="shared" si="5"/>
        <v>0</v>
      </c>
      <c r="N18" s="133">
        <f t="shared" si="5"/>
        <v>0</v>
      </c>
      <c r="O18" s="43"/>
      <c r="P18" s="43"/>
    </row>
    <row r="19" spans="1:14" s="31" customFormat="1" ht="15.75">
      <c r="A19" s="107" t="s">
        <v>30</v>
      </c>
      <c r="C19" s="90">
        <f aca="true" t="shared" si="6" ref="C19:N19">SUM(C17:C18)</f>
        <v>0</v>
      </c>
      <c r="D19" s="90">
        <f t="shared" si="6"/>
        <v>0</v>
      </c>
      <c r="E19" s="90">
        <f t="shared" si="6"/>
        <v>0</v>
      </c>
      <c r="F19" s="90">
        <f t="shared" si="6"/>
        <v>0</v>
      </c>
      <c r="G19" s="90">
        <f t="shared" si="6"/>
        <v>0</v>
      </c>
      <c r="H19" s="90">
        <f t="shared" si="6"/>
        <v>0</v>
      </c>
      <c r="I19" s="90">
        <f t="shared" si="6"/>
        <v>0</v>
      </c>
      <c r="J19" s="90">
        <f t="shared" si="6"/>
        <v>0</v>
      </c>
      <c r="K19" s="90">
        <f t="shared" si="6"/>
        <v>0</v>
      </c>
      <c r="L19" s="90">
        <f t="shared" si="6"/>
        <v>0</v>
      </c>
      <c r="M19" s="90">
        <f t="shared" si="6"/>
        <v>0</v>
      </c>
      <c r="N19" s="90">
        <f t="shared" si="6"/>
        <v>0</v>
      </c>
    </row>
    <row r="20" ht="15">
      <c r="A20" s="124"/>
    </row>
    <row r="21" spans="1:14" s="31" customFormat="1" ht="15.75">
      <c r="A21" s="137" t="s">
        <v>98</v>
      </c>
      <c r="C21" s="90">
        <f aca="true" t="shared" si="7" ref="C21:N21">C14-C19</f>
        <v>0</v>
      </c>
      <c r="D21" s="90">
        <f t="shared" si="7"/>
        <v>0</v>
      </c>
      <c r="E21" s="90">
        <f t="shared" si="7"/>
        <v>0</v>
      </c>
      <c r="F21" s="90">
        <f t="shared" si="7"/>
        <v>0</v>
      </c>
      <c r="G21" s="90">
        <f t="shared" si="7"/>
        <v>0</v>
      </c>
      <c r="H21" s="90">
        <f t="shared" si="7"/>
        <v>0</v>
      </c>
      <c r="I21" s="90">
        <f t="shared" si="7"/>
        <v>0</v>
      </c>
      <c r="J21" s="90">
        <f t="shared" si="7"/>
        <v>0</v>
      </c>
      <c r="K21" s="90">
        <f t="shared" si="7"/>
        <v>0</v>
      </c>
      <c r="L21" s="90">
        <f t="shared" si="7"/>
        <v>0</v>
      </c>
      <c r="M21" s="90">
        <f t="shared" si="7"/>
        <v>0</v>
      </c>
      <c r="N21" s="90">
        <f t="shared" si="7"/>
        <v>0</v>
      </c>
    </row>
    <row r="22" spans="1:14" s="31" customFormat="1" ht="15.75">
      <c r="A22" s="13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s="44" customFormat="1" ht="15">
      <c r="A23" s="107" t="s">
        <v>47</v>
      </c>
      <c r="C23" s="134" t="e">
        <f>'1. Mort'!L35</f>
        <v>#DIV/0!</v>
      </c>
      <c r="D23" s="134" t="e">
        <f aca="true" t="shared" si="8" ref="D23:N23">C23</f>
        <v>#DIV/0!</v>
      </c>
      <c r="E23" s="134" t="e">
        <f t="shared" si="8"/>
        <v>#DIV/0!</v>
      </c>
      <c r="F23" s="134" t="e">
        <f t="shared" si="8"/>
        <v>#DIV/0!</v>
      </c>
      <c r="G23" s="134" t="e">
        <f t="shared" si="8"/>
        <v>#DIV/0!</v>
      </c>
      <c r="H23" s="134" t="e">
        <f t="shared" si="8"/>
        <v>#DIV/0!</v>
      </c>
      <c r="I23" s="134" t="e">
        <f t="shared" si="8"/>
        <v>#DIV/0!</v>
      </c>
      <c r="J23" s="134" t="e">
        <f t="shared" si="8"/>
        <v>#DIV/0!</v>
      </c>
      <c r="K23" s="134" t="e">
        <f t="shared" si="8"/>
        <v>#DIV/0!</v>
      </c>
      <c r="L23" s="134" t="e">
        <f t="shared" si="8"/>
        <v>#DIV/0!</v>
      </c>
      <c r="M23" s="134" t="e">
        <f t="shared" si="8"/>
        <v>#DIV/0!</v>
      </c>
      <c r="N23" s="134" t="e">
        <f t="shared" si="8"/>
        <v>#DIV/0!</v>
      </c>
    </row>
    <row r="24" spans="1:14" s="31" customFormat="1" ht="15.75">
      <c r="A24" s="13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s="31" customFormat="1" ht="15.75">
      <c r="A25" s="137" t="s">
        <v>99</v>
      </c>
      <c r="C25" s="90" t="e">
        <f aca="true" t="shared" si="9" ref="C25:N25">C21-C23</f>
        <v>#DIV/0!</v>
      </c>
      <c r="D25" s="90" t="e">
        <f t="shared" si="9"/>
        <v>#DIV/0!</v>
      </c>
      <c r="E25" s="90" t="e">
        <f t="shared" si="9"/>
        <v>#DIV/0!</v>
      </c>
      <c r="F25" s="90" t="e">
        <f t="shared" si="9"/>
        <v>#DIV/0!</v>
      </c>
      <c r="G25" s="90" t="e">
        <f t="shared" si="9"/>
        <v>#DIV/0!</v>
      </c>
      <c r="H25" s="90" t="e">
        <f t="shared" si="9"/>
        <v>#DIV/0!</v>
      </c>
      <c r="I25" s="90" t="e">
        <f t="shared" si="9"/>
        <v>#DIV/0!</v>
      </c>
      <c r="J25" s="90" t="e">
        <f t="shared" si="9"/>
        <v>#DIV/0!</v>
      </c>
      <c r="K25" s="90" t="e">
        <f t="shared" si="9"/>
        <v>#DIV/0!</v>
      </c>
      <c r="L25" s="90" t="e">
        <f t="shared" si="9"/>
        <v>#DIV/0!</v>
      </c>
      <c r="M25" s="90" t="e">
        <f t="shared" si="9"/>
        <v>#DIV/0!</v>
      </c>
      <c r="N25" s="90" t="e">
        <f t="shared" si="9"/>
        <v>#DIV/0!</v>
      </c>
    </row>
    <row r="26" spans="1:14" s="31" customFormat="1" ht="15.75">
      <c r="A26" s="137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31" customFormat="1" ht="15.75">
      <c r="A27" s="137" t="s">
        <v>117</v>
      </c>
      <c r="C27" s="90" t="e">
        <f>SUM(C25:N25)</f>
        <v>#DIV/0!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s="31" customFormat="1" ht="15.75">
      <c r="A28" s="1333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ht="15">
      <c r="A29" s="1334"/>
    </row>
    <row r="30" spans="1:4" ht="15">
      <c r="A30" s="11"/>
      <c r="B30" s="132"/>
      <c r="C30" s="13"/>
      <c r="D30" s="132"/>
    </row>
    <row r="31" ht="15">
      <c r="A31" s="1334"/>
    </row>
    <row r="32" ht="15">
      <c r="A32" s="42"/>
    </row>
    <row r="33" ht="15">
      <c r="A33" s="1335"/>
    </row>
    <row r="34" ht="15">
      <c r="A34" s="1335"/>
    </row>
    <row r="35" ht="15">
      <c r="A35" s="1334"/>
    </row>
    <row r="36" ht="15">
      <c r="A36" s="1334"/>
    </row>
    <row r="37" ht="15">
      <c r="A37" s="1334"/>
    </row>
    <row r="38" ht="15">
      <c r="A38" s="1334"/>
    </row>
    <row r="39" ht="15">
      <c r="A39" s="1334"/>
    </row>
    <row r="40" ht="15">
      <c r="A40" s="1334"/>
    </row>
    <row r="41" ht="15">
      <c r="A41" s="1334"/>
    </row>
  </sheetData>
  <sheetProtection/>
  <printOptions/>
  <pageMargins left="0.75" right="0.5" top="0.75" bottom="0.5" header="0.5" footer="0.5"/>
  <pageSetup firstPageNumber="212" useFirstPageNumber="1"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Housing Development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Willets Point Affordable Housing Pro Forma Template.xls</dc:title>
  <dc:subject/>
  <dc:creator>mschatz</dc:creator>
  <cp:keywords/>
  <dc:description/>
  <cp:lastModifiedBy>Grace Bello</cp:lastModifiedBy>
  <cp:lastPrinted>2009-07-27T20:20:37Z</cp:lastPrinted>
  <dcterms:created xsi:type="dcterms:W3CDTF">1998-09-24T19:31:31Z</dcterms:created>
  <dcterms:modified xsi:type="dcterms:W3CDTF">2011-11-11T22:20:08Z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